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"/>
    </mc:Choice>
  </mc:AlternateContent>
  <xr:revisionPtr revIDLastSave="0" documentId="8_{C18E74BD-7BD3-4DC5-9313-6B8880D4FF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Komunikace a odvodnění" sheetId="12" r:id="rId4"/>
    <sheet name="SO 04  Veřejné osvětlení" sheetId="13" r:id="rId5"/>
  </sheets>
  <externalReferences>
    <externalReference r:id="rId6"/>
  </externalReferences>
  <definedNames>
    <definedName name="CelkemDPHVypocet" localSheetId="1">Stavba!$H$44</definedName>
    <definedName name="CenaCelkem">Stavba!$G$30</definedName>
    <definedName name="CenaCelkemBezDPH">Stavba!$G$29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Stavba!$J$30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Komunikace a odvodnění'!$1:$7</definedName>
    <definedName name="_xlnm.Print_Titles" localSheetId="4">'SO 04  Veřejné osvětlení'!$1:$7</definedName>
    <definedName name="oadresa">Stavba!$D$6</definedName>
    <definedName name="Objednatel" localSheetId="1">Stavba!$D$5</definedName>
    <definedName name="Objekt" localSheetId="1">Stavba!$B$39</definedName>
    <definedName name="_xlnm.Print_Area" localSheetId="3">'SO 01 Komunikace a odvodnění'!$A$1:$X$214</definedName>
    <definedName name="_xlnm.Print_Area" localSheetId="4">'SO 04  Veřejné osvětlení'!$A$1:$X$80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 localSheetId="4">#REF!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12" l="1"/>
  <c r="Q120" i="12"/>
  <c r="O120" i="12"/>
  <c r="K120" i="12"/>
  <c r="I120" i="12"/>
  <c r="G120" i="12"/>
  <c r="M120" i="12" s="1"/>
  <c r="Q69" i="13" l="1"/>
  <c r="O69" i="13"/>
  <c r="K69" i="13"/>
  <c r="I69" i="13"/>
  <c r="G69" i="13"/>
  <c r="M69" i="13" s="1"/>
  <c r="I63" i="13"/>
  <c r="E37" i="13"/>
  <c r="K37" i="13" s="1"/>
  <c r="K36" i="13" s="1"/>
  <c r="Q57" i="13"/>
  <c r="O57" i="13"/>
  <c r="K57" i="13"/>
  <c r="I57" i="13"/>
  <c r="G57" i="13"/>
  <c r="M57" i="13" s="1"/>
  <c r="A47" i="13"/>
  <c r="E19" i="13"/>
  <c r="G19" i="13" s="1"/>
  <c r="M19" i="13" s="1"/>
  <c r="E9" i="13"/>
  <c r="O9" i="13" s="1"/>
  <c r="G31" i="13"/>
  <c r="M31" i="13" s="1"/>
  <c r="G28" i="13"/>
  <c r="M28" i="13" s="1"/>
  <c r="E73" i="13"/>
  <c r="Q73" i="13" s="1"/>
  <c r="Q71" i="13"/>
  <c r="O71" i="13"/>
  <c r="K71" i="13"/>
  <c r="I71" i="13"/>
  <c r="G71" i="13"/>
  <c r="M71" i="13" s="1"/>
  <c r="O67" i="13"/>
  <c r="Q65" i="13"/>
  <c r="O65" i="13"/>
  <c r="K65" i="13"/>
  <c r="I65" i="13"/>
  <c r="G65" i="13"/>
  <c r="M65" i="13" s="1"/>
  <c r="Q63" i="13"/>
  <c r="O63" i="13"/>
  <c r="K63" i="13"/>
  <c r="G63" i="13"/>
  <c r="M63" i="13" s="1"/>
  <c r="Q60" i="13"/>
  <c r="O60" i="13"/>
  <c r="K60" i="13"/>
  <c r="I60" i="13"/>
  <c r="G60" i="13"/>
  <c r="M60" i="13" s="1"/>
  <c r="Q54" i="13"/>
  <c r="O54" i="13"/>
  <c r="K54" i="13"/>
  <c r="I54" i="13"/>
  <c r="G54" i="13"/>
  <c r="M54" i="13" s="1"/>
  <c r="Q52" i="13"/>
  <c r="O52" i="13"/>
  <c r="K52" i="13"/>
  <c r="I52" i="13"/>
  <c r="G52" i="13"/>
  <c r="M52" i="13" s="1"/>
  <c r="Q49" i="13"/>
  <c r="O49" i="13"/>
  <c r="K49" i="13"/>
  <c r="I49" i="13"/>
  <c r="G49" i="13"/>
  <c r="M49" i="13" s="1"/>
  <c r="Q47" i="13"/>
  <c r="O47" i="13"/>
  <c r="K47" i="13"/>
  <c r="I47" i="13"/>
  <c r="G47" i="13"/>
  <c r="M47" i="13" s="1"/>
  <c r="A49" i="13"/>
  <c r="A52" i="13" s="1"/>
  <c r="A54" i="13" s="1"/>
  <c r="A57" i="13" s="1"/>
  <c r="A60" i="13" s="1"/>
  <c r="I37" i="13"/>
  <c r="I36" i="13" s="1"/>
  <c r="Q31" i="13"/>
  <c r="O31" i="13"/>
  <c r="K31" i="13"/>
  <c r="I31" i="13"/>
  <c r="Q28" i="13"/>
  <c r="O28" i="13"/>
  <c r="K28" i="13"/>
  <c r="I28" i="13"/>
  <c r="Q26" i="13"/>
  <c r="O26" i="13"/>
  <c r="K26" i="13"/>
  <c r="I26" i="13"/>
  <c r="G26" i="13"/>
  <c r="M26" i="13" s="1"/>
  <c r="G23" i="13"/>
  <c r="M23" i="13" s="1"/>
  <c r="A19" i="13"/>
  <c r="A23" i="13" s="1"/>
  <c r="A26" i="13" s="1"/>
  <c r="K12" i="13"/>
  <c r="V14" i="13"/>
  <c r="V11" i="13" s="1"/>
  <c r="G37" i="13" l="1"/>
  <c r="Q37" i="13"/>
  <c r="Q36" i="13" s="1"/>
  <c r="O37" i="13"/>
  <c r="O36" i="13" s="1"/>
  <c r="A63" i="13"/>
  <c r="A65" i="13" s="1"/>
  <c r="A67" i="13" s="1"/>
  <c r="K73" i="13"/>
  <c r="Q67" i="13"/>
  <c r="E15" i="13"/>
  <c r="G15" i="13" s="1"/>
  <c r="E41" i="13"/>
  <c r="Q41" i="13" s="1"/>
  <c r="Q40" i="13" s="1"/>
  <c r="V9" i="13"/>
  <c r="I9" i="13"/>
  <c r="K9" i="13"/>
  <c r="G67" i="13"/>
  <c r="M67" i="13" s="1"/>
  <c r="K67" i="13"/>
  <c r="K46" i="13" s="1"/>
  <c r="Q9" i="13"/>
  <c r="G9" i="13"/>
  <c r="M9" i="13" s="1"/>
  <c r="E44" i="13"/>
  <c r="I67" i="13"/>
  <c r="I15" i="13"/>
  <c r="Q46" i="13"/>
  <c r="G12" i="13"/>
  <c r="O12" i="13"/>
  <c r="Q15" i="13"/>
  <c r="O44" i="13"/>
  <c r="I12" i="13"/>
  <c r="Q12" i="13"/>
  <c r="O41" i="13"/>
  <c r="O40" i="13" s="1"/>
  <c r="G73" i="13"/>
  <c r="M73" i="13" s="1"/>
  <c r="O73" i="13"/>
  <c r="O46" i="13" s="1"/>
  <c r="I73" i="13"/>
  <c r="I41" i="13" l="1"/>
  <c r="I40" i="13" s="1"/>
  <c r="K41" i="13"/>
  <c r="K40" i="13" s="1"/>
  <c r="G41" i="13"/>
  <c r="M41" i="13" s="1"/>
  <c r="I76" i="13"/>
  <c r="I75" i="13" s="1"/>
  <c r="E76" i="13"/>
  <c r="A69" i="13"/>
  <c r="A71" i="13" s="1"/>
  <c r="A73" i="13" s="1"/>
  <c r="A76" i="13" s="1"/>
  <c r="M37" i="13"/>
  <c r="M36" i="13" s="1"/>
  <c r="G36" i="13"/>
  <c r="I73" i="1" s="1"/>
  <c r="M46" i="13"/>
  <c r="I46" i="13"/>
  <c r="O76" i="13"/>
  <c r="O75" i="13" s="1"/>
  <c r="K44" i="13"/>
  <c r="Q44" i="13"/>
  <c r="Q76" i="13"/>
  <c r="Q75" i="13" s="1"/>
  <c r="I44" i="13"/>
  <c r="G44" i="13"/>
  <c r="M44" i="13" s="1"/>
  <c r="G76" i="13"/>
  <c r="M76" i="13" s="1"/>
  <c r="M75" i="13" s="1"/>
  <c r="K76" i="13"/>
  <c r="K75" i="13" s="1"/>
  <c r="K15" i="13"/>
  <c r="E34" i="13"/>
  <c r="O15" i="13"/>
  <c r="M15" i="13"/>
  <c r="M12" i="13"/>
  <c r="G46" i="13"/>
  <c r="I75" i="1" s="1"/>
  <c r="I18" i="1" s="1"/>
  <c r="G40" i="13" l="1"/>
  <c r="I74" i="1" s="1"/>
  <c r="M40" i="13"/>
  <c r="G75" i="13"/>
  <c r="I76" i="1" s="1"/>
  <c r="K34" i="13"/>
  <c r="K8" i="13" s="1"/>
  <c r="Q34" i="13"/>
  <c r="Q8" i="13" s="1"/>
  <c r="G34" i="13"/>
  <c r="O34" i="13"/>
  <c r="O8" i="13" s="1"/>
  <c r="I34" i="13"/>
  <c r="I8" i="13" s="1"/>
  <c r="M34" i="13" l="1"/>
  <c r="M8" i="13" s="1"/>
  <c r="G8" i="13"/>
  <c r="G79" i="13" l="1"/>
  <c r="I72" i="1"/>
  <c r="I77" i="1" s="1"/>
  <c r="Q129" i="12"/>
  <c r="O129" i="12"/>
  <c r="K129" i="12"/>
  <c r="I129" i="12"/>
  <c r="G129" i="12"/>
  <c r="M129" i="12" s="1"/>
  <c r="E58" i="12"/>
  <c r="E45" i="12"/>
  <c r="E30" i="12"/>
  <c r="E62" i="12"/>
  <c r="G126" i="12"/>
  <c r="M126" i="12" s="1"/>
  <c r="Q126" i="12"/>
  <c r="O126" i="12"/>
  <c r="K126" i="12"/>
  <c r="I126" i="12"/>
  <c r="Q123" i="12"/>
  <c r="O123" i="12"/>
  <c r="K123" i="12"/>
  <c r="I123" i="12"/>
  <c r="G123" i="12"/>
  <c r="M123" i="12" s="1"/>
  <c r="E158" i="12"/>
  <c r="E153" i="12"/>
  <c r="E178" i="12" s="1"/>
  <c r="I49" i="1" l="1"/>
  <c r="J73" i="1"/>
  <c r="J74" i="1"/>
  <c r="J75" i="1"/>
  <c r="J76" i="1"/>
  <c r="J72" i="1"/>
  <c r="Q174" i="12"/>
  <c r="O174" i="12"/>
  <c r="K174" i="12"/>
  <c r="I174" i="12"/>
  <c r="G174" i="12"/>
  <c r="M174" i="12" s="1"/>
  <c r="Q167" i="12"/>
  <c r="O167" i="12"/>
  <c r="K167" i="12"/>
  <c r="I167" i="12"/>
  <c r="G167" i="12"/>
  <c r="M167" i="12" s="1"/>
  <c r="Q135" i="12"/>
  <c r="O135" i="12"/>
  <c r="K135" i="12"/>
  <c r="I135" i="12"/>
  <c r="G135" i="12"/>
  <c r="M135" i="12" s="1"/>
  <c r="Q132" i="12"/>
  <c r="O132" i="12"/>
  <c r="K132" i="12"/>
  <c r="I132" i="12"/>
  <c r="G132" i="12"/>
  <c r="M132" i="12" s="1"/>
  <c r="Q117" i="12"/>
  <c r="O117" i="12"/>
  <c r="K117" i="12"/>
  <c r="I117" i="12"/>
  <c r="G117" i="12"/>
  <c r="Q114" i="12"/>
  <c r="O114" i="12"/>
  <c r="K114" i="12"/>
  <c r="I114" i="12"/>
  <c r="G114" i="12"/>
  <c r="M114" i="12" s="1"/>
  <c r="Q111" i="12"/>
  <c r="O111" i="12"/>
  <c r="K111" i="12"/>
  <c r="I111" i="12"/>
  <c r="G111" i="12"/>
  <c r="M111" i="12" s="1"/>
  <c r="Q108" i="12"/>
  <c r="O108" i="12"/>
  <c r="K108" i="12"/>
  <c r="I108" i="12"/>
  <c r="G108" i="12"/>
  <c r="Q62" i="12"/>
  <c r="O58" i="12"/>
  <c r="E33" i="12"/>
  <c r="E36" i="12"/>
  <c r="Q36" i="12" s="1"/>
  <c r="Q30" i="12"/>
  <c r="G107" i="12" l="1"/>
  <c r="I60" i="1" s="1"/>
  <c r="J77" i="1"/>
  <c r="M108" i="12"/>
  <c r="I107" i="12"/>
  <c r="Q107" i="12"/>
  <c r="O107" i="12"/>
  <c r="K107" i="12"/>
  <c r="M117" i="12"/>
  <c r="I36" i="12"/>
  <c r="K36" i="12"/>
  <c r="O36" i="12"/>
  <c r="I58" i="12"/>
  <c r="Q58" i="12"/>
  <c r="K62" i="12"/>
  <c r="G62" i="12"/>
  <c r="M62" i="12" s="1"/>
  <c r="O62" i="12"/>
  <c r="K58" i="12"/>
  <c r="G58" i="12"/>
  <c r="M58" i="12" s="1"/>
  <c r="I62" i="12"/>
  <c r="E39" i="12"/>
  <c r="G36" i="12"/>
  <c r="M36" i="12" s="1"/>
  <c r="K30" i="12"/>
  <c r="G30" i="12"/>
  <c r="M30" i="12" s="1"/>
  <c r="O30" i="12"/>
  <c r="I30" i="12"/>
  <c r="M107" i="12" l="1"/>
  <c r="Q39" i="12"/>
  <c r="I39" i="12"/>
  <c r="G39" i="12"/>
  <c r="M39" i="12" s="1"/>
  <c r="K39" i="12"/>
  <c r="O39" i="12"/>
  <c r="O33" i="12"/>
  <c r="G33" i="12"/>
  <c r="M33" i="12" s="1"/>
  <c r="K33" i="12"/>
  <c r="Q33" i="12"/>
  <c r="I33" i="12"/>
  <c r="E182" i="12" l="1"/>
  <c r="E105" i="12"/>
  <c r="E98" i="12"/>
  <c r="G95" i="12"/>
  <c r="E93" i="12"/>
  <c r="E87" i="12"/>
  <c r="O85" i="12"/>
  <c r="E83" i="12"/>
  <c r="O73" i="12"/>
  <c r="I85" i="12" l="1"/>
  <c r="Q85" i="12"/>
  <c r="K85" i="12"/>
  <c r="G85" i="12"/>
  <c r="M85" i="12" s="1"/>
  <c r="I73" i="12"/>
  <c r="Q73" i="12"/>
  <c r="K73" i="12"/>
  <c r="G73" i="12"/>
  <c r="M73" i="12" s="1"/>
  <c r="E71" i="12" l="1"/>
  <c r="E15" i="12"/>
  <c r="E9" i="12"/>
  <c r="K9" i="12" s="1"/>
  <c r="E49" i="12"/>
  <c r="I49" i="12" s="1"/>
  <c r="E18" i="12"/>
  <c r="K18" i="12" s="1"/>
  <c r="Q12" i="12"/>
  <c r="O12" i="12"/>
  <c r="K12" i="12"/>
  <c r="I12" i="12"/>
  <c r="G12" i="12"/>
  <c r="M12" i="12" s="1"/>
  <c r="Q209" i="12"/>
  <c r="O209" i="12"/>
  <c r="K209" i="12"/>
  <c r="I209" i="12"/>
  <c r="G209" i="12"/>
  <c r="M209" i="12" s="1"/>
  <c r="Q206" i="12"/>
  <c r="O206" i="12"/>
  <c r="K206" i="12"/>
  <c r="I206" i="12"/>
  <c r="G206" i="12"/>
  <c r="M206" i="12" s="1"/>
  <c r="Q203" i="12"/>
  <c r="O203" i="12"/>
  <c r="K203" i="12"/>
  <c r="I203" i="12"/>
  <c r="G203" i="12"/>
  <c r="M203" i="12" s="1"/>
  <c r="Q199" i="12"/>
  <c r="O199" i="12"/>
  <c r="K199" i="12"/>
  <c r="I199" i="12"/>
  <c r="G199" i="12"/>
  <c r="M199" i="12" s="1"/>
  <c r="Q197" i="12"/>
  <c r="O197" i="12"/>
  <c r="K197" i="12"/>
  <c r="I197" i="12"/>
  <c r="G197" i="12"/>
  <c r="M197" i="12" s="1"/>
  <c r="Q194" i="12"/>
  <c r="Q191" i="12" s="1"/>
  <c r="O194" i="12"/>
  <c r="O191" i="12" s="1"/>
  <c r="K194" i="12"/>
  <c r="K191" i="12" s="1"/>
  <c r="I194" i="12"/>
  <c r="G194" i="12"/>
  <c r="M194" i="12" s="1"/>
  <c r="Q192" i="12"/>
  <c r="O192" i="12"/>
  <c r="K192" i="12"/>
  <c r="I192" i="12"/>
  <c r="G192" i="12"/>
  <c r="M192" i="12" s="1"/>
  <c r="I191" i="12"/>
  <c r="Q171" i="12"/>
  <c r="Q170" i="12" s="1"/>
  <c r="O171" i="12"/>
  <c r="O170" i="12" s="1"/>
  <c r="K171" i="12"/>
  <c r="K170" i="12" s="1"/>
  <c r="I171" i="12"/>
  <c r="I170" i="12" s="1"/>
  <c r="G171" i="12"/>
  <c r="O164" i="12"/>
  <c r="Q162" i="12"/>
  <c r="O162" i="12"/>
  <c r="K162" i="12"/>
  <c r="I162" i="12"/>
  <c r="G162" i="12"/>
  <c r="Q160" i="12"/>
  <c r="O160" i="12"/>
  <c r="K160" i="12"/>
  <c r="I160" i="12"/>
  <c r="G160" i="12"/>
  <c r="M160" i="12" s="1"/>
  <c r="Q158" i="12"/>
  <c r="O158" i="12"/>
  <c r="K158" i="12"/>
  <c r="I158" i="12"/>
  <c r="G158" i="12"/>
  <c r="M158" i="12" s="1"/>
  <c r="O153" i="12"/>
  <c r="K156" i="12"/>
  <c r="Q144" i="12"/>
  <c r="O144" i="12"/>
  <c r="K144" i="12"/>
  <c r="I144" i="12"/>
  <c r="G144" i="12"/>
  <c r="M144" i="12" s="1"/>
  <c r="Q141" i="12"/>
  <c r="O141" i="12"/>
  <c r="K141" i="12"/>
  <c r="I141" i="12"/>
  <c r="G141" i="12"/>
  <c r="M141" i="12" s="1"/>
  <c r="Q138" i="12"/>
  <c r="O138" i="12"/>
  <c r="K138" i="12"/>
  <c r="I138" i="12"/>
  <c r="G138" i="12"/>
  <c r="G105" i="12"/>
  <c r="M105" i="12" s="1"/>
  <c r="Q105" i="12"/>
  <c r="O103" i="12"/>
  <c r="K100" i="12"/>
  <c r="I100" i="12"/>
  <c r="Q100" i="12"/>
  <c r="G98" i="12"/>
  <c r="M98" i="12" s="1"/>
  <c r="K95" i="12"/>
  <c r="Q95" i="12"/>
  <c r="K91" i="12"/>
  <c r="I83" i="12"/>
  <c r="O83" i="12"/>
  <c r="E81" i="12"/>
  <c r="Q79" i="12"/>
  <c r="O79" i="12"/>
  <c r="K79" i="12"/>
  <c r="I79" i="12"/>
  <c r="G79" i="12"/>
  <c r="Q71" i="12"/>
  <c r="Q68" i="12"/>
  <c r="O68" i="12"/>
  <c r="K68" i="12"/>
  <c r="I68" i="12"/>
  <c r="G68" i="12"/>
  <c r="M68" i="12" s="1"/>
  <c r="Q65" i="12"/>
  <c r="O65" i="12"/>
  <c r="K65" i="12"/>
  <c r="I65" i="12"/>
  <c r="G65" i="12"/>
  <c r="M65" i="12" s="1"/>
  <c r="Q27" i="12"/>
  <c r="O27" i="12"/>
  <c r="K27" i="12"/>
  <c r="I27" i="12"/>
  <c r="G27" i="12"/>
  <c r="M27" i="12" s="1"/>
  <c r="Q24" i="12"/>
  <c r="O24" i="12"/>
  <c r="K24" i="12"/>
  <c r="I24" i="12"/>
  <c r="G24" i="12"/>
  <c r="M24" i="12" s="1"/>
  <c r="Q18" i="12"/>
  <c r="I18" i="12"/>
  <c r="K49" i="12" l="1"/>
  <c r="E52" i="12"/>
  <c r="M79" i="12"/>
  <c r="M171" i="12"/>
  <c r="M170" i="12" s="1"/>
  <c r="G170" i="12"/>
  <c r="I62" i="1" s="1"/>
  <c r="M162" i="12"/>
  <c r="I9" i="12"/>
  <c r="O49" i="12"/>
  <c r="Q202" i="12"/>
  <c r="E47" i="12"/>
  <c r="I202" i="12"/>
  <c r="M138" i="12"/>
  <c r="O202" i="12"/>
  <c r="O9" i="12"/>
  <c r="K81" i="12"/>
  <c r="E147" i="12"/>
  <c r="E180" i="12"/>
  <c r="Q180" i="12" s="1"/>
  <c r="E185" i="12"/>
  <c r="I153" i="12"/>
  <c r="M191" i="12"/>
  <c r="G202" i="12"/>
  <c r="I66" i="1" s="1"/>
  <c r="I20" i="1" s="1"/>
  <c r="I150" i="12"/>
  <c r="K150" i="12"/>
  <c r="Q164" i="12"/>
  <c r="K202" i="12"/>
  <c r="I81" i="12"/>
  <c r="G9" i="12"/>
  <c r="Q9" i="12"/>
  <c r="G49" i="12"/>
  <c r="M49" i="12" s="1"/>
  <c r="Q49" i="12"/>
  <c r="G103" i="12"/>
  <c r="M103" i="12" s="1"/>
  <c r="M202" i="12"/>
  <c r="O81" i="12"/>
  <c r="K83" i="12"/>
  <c r="G91" i="12"/>
  <c r="M91" i="12" s="1"/>
  <c r="Q91" i="12"/>
  <c r="O100" i="12"/>
  <c r="O150" i="12"/>
  <c r="K153" i="12"/>
  <c r="G164" i="12"/>
  <c r="M164" i="12" s="1"/>
  <c r="I21" i="12"/>
  <c r="K71" i="12"/>
  <c r="G81" i="12"/>
  <c r="M81" i="12" s="1"/>
  <c r="Q81" i="12"/>
  <c r="Q83" i="12"/>
  <c r="I91" i="12"/>
  <c r="G100" i="12"/>
  <c r="M100" i="12" s="1"/>
  <c r="O178" i="12"/>
  <c r="G150" i="12"/>
  <c r="M150" i="12" s="1"/>
  <c r="Q150" i="12"/>
  <c r="Q153" i="12"/>
  <c r="I164" i="12"/>
  <c r="O91" i="12"/>
  <c r="K164" i="12"/>
  <c r="G45" i="12"/>
  <c r="M45" i="12" s="1"/>
  <c r="O45" i="12"/>
  <c r="K45" i="12"/>
  <c r="Q45" i="12"/>
  <c r="I45" i="12"/>
  <c r="G89" i="12"/>
  <c r="O98" i="12"/>
  <c r="O21" i="12"/>
  <c r="G71" i="12"/>
  <c r="M71" i="12" s="1"/>
  <c r="O71" i="12"/>
  <c r="I89" i="12"/>
  <c r="Q89" i="12"/>
  <c r="M95" i="12"/>
  <c r="O95" i="12"/>
  <c r="I98" i="12"/>
  <c r="Q98" i="12"/>
  <c r="G156" i="12"/>
  <c r="M156" i="12" s="1"/>
  <c r="O156" i="12"/>
  <c r="O89" i="12"/>
  <c r="G18" i="12"/>
  <c r="M18" i="12" s="1"/>
  <c r="O18" i="12"/>
  <c r="I71" i="12"/>
  <c r="G83" i="12"/>
  <c r="M83" i="12" s="1"/>
  <c r="K89" i="12"/>
  <c r="I95" i="12"/>
  <c r="K98" i="12"/>
  <c r="Q103" i="12"/>
  <c r="O105" i="12"/>
  <c r="G153" i="12"/>
  <c r="M153" i="12" s="1"/>
  <c r="I156" i="12"/>
  <c r="Q156" i="12"/>
  <c r="G191" i="12"/>
  <c r="I65" i="1" s="1"/>
  <c r="I19" i="1" s="1"/>
  <c r="M9" i="12" l="1"/>
  <c r="K137" i="12"/>
  <c r="I137" i="12"/>
  <c r="M89" i="12"/>
  <c r="K147" i="12"/>
  <c r="I147" i="12"/>
  <c r="Q147" i="12"/>
  <c r="G147" i="12"/>
  <c r="G137" i="12" s="1"/>
  <c r="I61" i="1" s="1"/>
  <c r="O147" i="12"/>
  <c r="G180" i="12"/>
  <c r="M180" i="12" s="1"/>
  <c r="K180" i="12"/>
  <c r="O137" i="12"/>
  <c r="Q137" i="12"/>
  <c r="I180" i="12"/>
  <c r="O180" i="12"/>
  <c r="I178" i="12"/>
  <c r="K178" i="12"/>
  <c r="Q178" i="12"/>
  <c r="G178" i="12"/>
  <c r="M178" i="12" s="1"/>
  <c r="Q21" i="12"/>
  <c r="K21" i="12"/>
  <c r="G21" i="12"/>
  <c r="M21" i="12" s="1"/>
  <c r="K47" i="12"/>
  <c r="Q47" i="12"/>
  <c r="O47" i="12"/>
  <c r="G47" i="12"/>
  <c r="M47" i="12" s="1"/>
  <c r="I47" i="12"/>
  <c r="Q15" i="12"/>
  <c r="I15" i="12"/>
  <c r="O15" i="12"/>
  <c r="G15" i="12"/>
  <c r="K15" i="12"/>
  <c r="Q93" i="12"/>
  <c r="I93" i="12"/>
  <c r="O93" i="12"/>
  <c r="G93" i="12"/>
  <c r="M93" i="12" s="1"/>
  <c r="K93" i="12"/>
  <c r="O42" i="12"/>
  <c r="K42" i="12"/>
  <c r="Q42" i="12"/>
  <c r="I42" i="12"/>
  <c r="G42" i="12"/>
  <c r="M42" i="12" s="1"/>
  <c r="I52" i="12"/>
  <c r="O52" i="12"/>
  <c r="G52" i="12"/>
  <c r="M52" i="12" s="1"/>
  <c r="E56" i="12"/>
  <c r="K52" i="12"/>
  <c r="Q52" i="12"/>
  <c r="M147" i="12" l="1"/>
  <c r="M137" i="12" s="1"/>
  <c r="E76" i="12"/>
  <c r="Q56" i="12"/>
  <c r="O56" i="12"/>
  <c r="G56" i="12"/>
  <c r="M56" i="12" s="1"/>
  <c r="I56" i="12"/>
  <c r="K56" i="12"/>
  <c r="K182" i="12"/>
  <c r="K177" i="12" s="1"/>
  <c r="Q182" i="12"/>
  <c r="Q177" i="12" s="1"/>
  <c r="I182" i="12"/>
  <c r="I177" i="12" s="1"/>
  <c r="O182" i="12"/>
  <c r="O177" i="12" s="1"/>
  <c r="G182" i="12"/>
  <c r="E187" i="12"/>
  <c r="K185" i="12"/>
  <c r="E189" i="12"/>
  <c r="Q185" i="12"/>
  <c r="I185" i="12"/>
  <c r="O185" i="12"/>
  <c r="G185" i="12"/>
  <c r="K87" i="12"/>
  <c r="K78" i="12" s="1"/>
  <c r="Q87" i="12"/>
  <c r="Q78" i="12" s="1"/>
  <c r="I87" i="12"/>
  <c r="I78" i="12" s="1"/>
  <c r="O87" i="12"/>
  <c r="O78" i="12" s="1"/>
  <c r="G87" i="12"/>
  <c r="M15" i="12"/>
  <c r="G78" i="12" l="1"/>
  <c r="I59" i="1" s="1"/>
  <c r="M87" i="12"/>
  <c r="M78" i="12" s="1"/>
  <c r="K187" i="12"/>
  <c r="Q187" i="12"/>
  <c r="I187" i="12"/>
  <c r="O187" i="12"/>
  <c r="G187" i="12"/>
  <c r="M187" i="12" s="1"/>
  <c r="M182" i="12"/>
  <c r="M177" i="12" s="1"/>
  <c r="G177" i="12"/>
  <c r="I63" i="1" s="1"/>
  <c r="M185" i="12"/>
  <c r="O189" i="12"/>
  <c r="G189" i="12"/>
  <c r="M189" i="12" s="1"/>
  <c r="K189" i="12"/>
  <c r="Q189" i="12"/>
  <c r="I189" i="12"/>
  <c r="K76" i="12"/>
  <c r="K8" i="12" s="1"/>
  <c r="G76" i="12"/>
  <c r="G8" i="12" s="1"/>
  <c r="I58" i="1" s="1"/>
  <c r="Q76" i="12"/>
  <c r="Q8" i="12" s="1"/>
  <c r="I76" i="12"/>
  <c r="I8" i="12" s="1"/>
  <c r="O76" i="12"/>
  <c r="O8" i="12" s="1"/>
  <c r="Q184" i="12" l="1"/>
  <c r="O184" i="12"/>
  <c r="M76" i="12"/>
  <c r="M8" i="12" s="1"/>
  <c r="K184" i="12"/>
  <c r="G184" i="12"/>
  <c r="I64" i="1" s="1"/>
  <c r="I184" i="12"/>
  <c r="M184" i="12"/>
  <c r="G213" i="12" l="1"/>
  <c r="J27" i="1" l="1"/>
  <c r="BA211" i="12" l="1"/>
  <c r="BA202" i="12"/>
  <c r="BA103" i="12"/>
  <c r="V15" i="12"/>
  <c r="V18" i="12"/>
  <c r="V45" i="12"/>
  <c r="V47" i="12"/>
  <c r="V52" i="12"/>
  <c r="V56" i="12"/>
  <c r="V68" i="12"/>
  <c r="V84" i="12"/>
  <c r="V100" i="12"/>
  <c r="V155" i="12"/>
  <c r="V172" i="12"/>
  <c r="V185" i="12"/>
  <c r="V189" i="12"/>
  <c r="V192" i="12"/>
  <c r="V196" i="12"/>
  <c r="V201" i="12"/>
  <c r="V198" i="12" s="1"/>
  <c r="V210" i="12"/>
  <c r="F43" i="1"/>
  <c r="H44" i="1"/>
  <c r="V79" i="12" l="1"/>
  <c r="V142" i="12"/>
  <c r="V191" i="12"/>
  <c r="V184" i="12"/>
  <c r="V209" i="12"/>
  <c r="V81" i="12"/>
  <c r="G43" i="1"/>
  <c r="I43" i="1" s="1"/>
  <c r="F40" i="1"/>
  <c r="F42" i="1"/>
  <c r="J29" i="1"/>
  <c r="J26" i="1"/>
  <c r="G39" i="1"/>
  <c r="F39" i="1"/>
  <c r="J23" i="1"/>
  <c r="J24" i="1"/>
  <c r="J25" i="1"/>
  <c r="J28" i="1"/>
  <c r="E24" i="1"/>
  <c r="E26" i="1"/>
  <c r="V8" i="12" l="1"/>
  <c r="G40" i="1"/>
  <c r="G44" i="1" s="1"/>
  <c r="G42" i="1"/>
  <c r="I42" i="1" s="1"/>
  <c r="F44" i="1"/>
  <c r="I67" i="1" l="1"/>
  <c r="I40" i="1"/>
  <c r="I44" i="1" s="1"/>
  <c r="J43" i="1" s="1"/>
  <c r="I48" i="1" l="1"/>
  <c r="I50" i="1" s="1"/>
  <c r="J66" i="1"/>
  <c r="J60" i="1"/>
  <c r="J61" i="1"/>
  <c r="J59" i="1"/>
  <c r="J63" i="1"/>
  <c r="J62" i="1"/>
  <c r="J58" i="1"/>
  <c r="J64" i="1"/>
  <c r="J65" i="1"/>
  <c r="J42" i="1"/>
  <c r="J40" i="1"/>
  <c r="J44" i="1" s="1"/>
  <c r="I16" i="1" l="1"/>
  <c r="I21" i="1" s="1"/>
  <c r="J49" i="1"/>
  <c r="J48" i="1"/>
  <c r="J67" i="1"/>
  <c r="J50" i="1" l="1"/>
  <c r="G25" i="1"/>
  <c r="G27" i="1" s="1"/>
  <c r="G30" i="1" l="1"/>
  <c r="G29" i="1"/>
  <c r="A28" i="1"/>
  <c r="A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TSC</author>
  </authors>
  <commentList>
    <comment ref="S6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TSC</author>
  </authors>
  <commentList>
    <comment ref="S6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<sst xmlns="http://schemas.openxmlformats.org/spreadsheetml/2006/main" count="990" uniqueCount="386">
  <si>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</si>
  <si>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</si>
  <si>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</si>
  <si>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</si>
  <si>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</si>
  <si>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</si>
  <si>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</si>
  <si>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</si>
  <si>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</si>
  <si>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</si>
  <si>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</si>
  <si>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</si>
  <si>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</si>
  <si>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</si>
  <si>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</si>
  <si>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</si>
  <si>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</si>
  <si>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</si>
  <si>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</si>
  <si>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</si>
  <si>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</si>
  <si>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</si>
  <si>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</si>
  <si>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</si>
  <si>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</si>
  <si>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</si>
  <si>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</si>
  <si>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</si>
  <si>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</si>
  <si>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</si>
  <si>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</si>
  <si>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</si>
  <si>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</si>
  <si>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</si>
  <si>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</si>
  <si>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</si>
  <si>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</si>
  <si>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</si>
  <si>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</si>
  <si>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</si>
  <si>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</si>
  <si>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01285</t>
  </si>
  <si>
    <t>Rekonstrukce chodníků v ulici V Podlískách v obci Braškov</t>
  </si>
  <si>
    <t>SO 01</t>
  </si>
  <si>
    <t>Chodník</t>
  </si>
  <si>
    <t>Objekt:</t>
  </si>
  <si>
    <t>Rozpočet:</t>
  </si>
  <si>
    <t>Stavba</t>
  </si>
  <si>
    <t>Stavební objekt</t>
  </si>
  <si>
    <t>Celkem za stavbu</t>
  </si>
  <si>
    <t>CZK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</si>
  <si>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</si>
  <si>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</si>
  <si>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</si>
  <si>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</si>
  <si>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</si>
  <si>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</si>
  <si>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</si>
  <si>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</si>
  <si>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</si>
  <si>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</si>
  <si>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</si>
  <si>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</si>
  <si>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</si>
  <si>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</si>
  <si>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</si>
  <si>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</si>
  <si>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</si>
  <si>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</si>
  <si>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</si>
  <si>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</si>
  <si>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</si>
  <si>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</si>
  <si>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</si>
  <si>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</si>
  <si>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</si>
  <si>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</si>
  <si>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</si>
  <si>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</si>
  <si>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</si>
  <si>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</si>
  <si>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</si>
  <si>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</si>
  <si>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</si>
  <si>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</si>
  <si>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</si>
  <si>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</si>
  <si>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</si>
  <si>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</si>
  <si>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</si>
  <si>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</si>
  <si>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</si>
  <si>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</si>
  <si>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SPU</t>
  </si>
  <si>
    <t>SPCM</t>
  </si>
  <si>
    <t>kus</t>
  </si>
  <si>
    <t>59217010R</t>
  </si>
  <si>
    <t>obrubník silniční materiál beton; l = 1000,0 mm; š = 150,0 mm; h = 250,0 mm; barva přírodní</t>
  </si>
  <si>
    <t>m2</t>
  </si>
  <si>
    <t xml:space="preserve">Geodetické práce </t>
  </si>
  <si>
    <t>Soubor</t>
  </si>
  <si>
    <t>Indiv</t>
  </si>
  <si>
    <t>VRN</t>
  </si>
  <si>
    <t>POL99_2</t>
  </si>
  <si>
    <t>Zařízení staveniště</t>
  </si>
  <si>
    <t>POP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</si>
  <si>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</si>
  <si>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</si>
  <si>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</si>
  <si>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822-1</t>
  </si>
  <si>
    <t>Práce</t>
  </si>
  <si>
    <t>POL1_</t>
  </si>
  <si>
    <t>SPI</t>
  </si>
  <si>
    <t>m</t>
  </si>
  <si>
    <t>800-1</t>
  </si>
  <si>
    <t>m3</t>
  </si>
  <si>
    <t>122201109R00</t>
  </si>
  <si>
    <t>162701105RT3</t>
  </si>
  <si>
    <t>Vodorovné přemístění výkopku z horniny 1 až 4, na vzdálenost přes 9 000  do 10 000 m</t>
  </si>
  <si>
    <t>po suchu, bez naložení výkopku, avšak se složením bez rozhrnutí, zpáteční cesta vozidla.</t>
  </si>
  <si>
    <t>167101101R00</t>
  </si>
  <si>
    <t>180402111R00</t>
  </si>
  <si>
    <t>823-1</t>
  </si>
  <si>
    <t>na půdě předem připravené s pokosením, naložením, odvozem odpadu do 20 km a se složením,</t>
  </si>
  <si>
    <t>199000002R00</t>
  </si>
  <si>
    <t>Poplatky za skládku horniny 1- 4, skupina 17 05 04 z Katalogu odpadů</t>
  </si>
  <si>
    <t>t</t>
  </si>
  <si>
    <t>s provedením lože z kameniva drceného, s vyplněním spár, s dvojitým hutněním a se smetením přebytečného materiálu na krajnici. S dodáním hmot pro lože a výplň spár.</t>
  </si>
  <si>
    <t>919735112R00</t>
  </si>
  <si>
    <t>Řezání stávajících krytů nebo podkladů živičných, hloubky přes 50 do 100 mm</t>
  </si>
  <si>
    <t>včetně spotřeby vody</t>
  </si>
  <si>
    <t>Přesun hmot</t>
  </si>
  <si>
    <t>POL7_</t>
  </si>
  <si>
    <t>Přesun hmot pozemních komunikací, kryt dlážděný jakékoliv délky objektu</t>
  </si>
  <si>
    <t>Přesun suti</t>
  </si>
  <si>
    <t>POL8_</t>
  </si>
  <si>
    <t>801-3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</si>
  <si>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</si>
  <si>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</si>
  <si>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</si>
  <si>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</si>
  <si>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</si>
  <si>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</si>
  <si>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</si>
  <si>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</si>
  <si>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005281010R</t>
  </si>
  <si>
    <t>Propagace</t>
  </si>
  <si>
    <t>END</t>
  </si>
  <si>
    <t>Vytrhání obrub silničních stojatých nebo ležatých</t>
  </si>
  <si>
    <t>12224441R00</t>
  </si>
  <si>
    <t>917855111RT7</t>
  </si>
  <si>
    <t>998200011R00</t>
  </si>
  <si>
    <t>998213111R00</t>
  </si>
  <si>
    <t>Poplatek za skládku stavební suti</t>
  </si>
  <si>
    <t>979188001R00</t>
  </si>
  <si>
    <t>005131 R</t>
  </si>
  <si>
    <t>Náklady na vyhotovení návrhu dočasného dopravního značení, jeho projednání s dotčenými orgány a organizacemi, dodání dopravních značek i případné světelné signalizace, jejich rozmístění a přemísťování a jejich údržba v průběhu výstavby včetně následného odstranění po ukončení stavebních prací.</t>
  </si>
  <si>
    <t>Náklady spojené s povinnou publicitou. Zahrnuje zejména náklady na propagační a informační billboardy, tabule, internetovou propagaci, tiskoviny apod.</t>
  </si>
  <si>
    <t>Založení trávníku parkový trávník, výsevem v rovině, vč. travního smene</t>
  </si>
  <si>
    <t>005121029 R</t>
  </si>
  <si>
    <t>Kladení zámkové dlažby do drtě tloušťka dlažby 60 mm, tloušťka lože 40 mm</t>
  </si>
  <si>
    <t>Nakládání výkopku, skládání, překládání neulehlého výkopku_x000D_ z hornin 1 až 4</t>
  </si>
  <si>
    <t>S dodáním hmot pro lože a opěry</t>
  </si>
  <si>
    <t>Osazení silničního betonového obrubníku, s boční opěrou z betonu prostého, do lože z betonu prostého C 12/15</t>
  </si>
  <si>
    <t>917855101RT7</t>
  </si>
  <si>
    <t>592215021R00</t>
  </si>
  <si>
    <t>Osazení chodníkového nebo parkového betonového obrubníku, s boční opěrou z betonu prostého, do lože z betonu prostého C 12/15</t>
  </si>
  <si>
    <t xml:space="preserve">             Artendr s.r.o.</t>
  </si>
  <si>
    <t>Zadavatel:</t>
  </si>
  <si>
    <t>Celkem bez DPH</t>
  </si>
  <si>
    <t>Základní DPH</t>
  </si>
  <si>
    <t>120001101R00</t>
  </si>
  <si>
    <t>Ztížené vykopávky v horninách jakékoliv třídy</t>
  </si>
  <si>
    <t>139601102R00</t>
  </si>
  <si>
    <t>Ruční výkop jam, rýh a šachet v hornině 3</t>
  </si>
  <si>
    <t>s přehozením na vzdálenost do 5 m nebo s naložením na ruční dopravní prostředek</t>
  </si>
  <si>
    <t>823-2</t>
  </si>
  <si>
    <t>Rozprostření zemin schopných zúrodnění v rovině nebo svahu do 1:5, tloušťka 200 mm</t>
  </si>
  <si>
    <t>vč. dodávky zeminy, naložení, dovozu do 20 km a se složením,</t>
  </si>
  <si>
    <t>95</t>
  </si>
  <si>
    <t>Dokončovací konstrukce na pozemních stavbách</t>
  </si>
  <si>
    <t>998222011R00</t>
  </si>
  <si>
    <t>Přesun hmot pozemních komunikací, kryt z kameniva jakékoliv délky objektu</t>
  </si>
  <si>
    <t>181101102R00</t>
  </si>
  <si>
    <t>Úprava pláně v zářezech v hornině 1 až 4, se zhutněním</t>
  </si>
  <si>
    <t>181006190RT2</t>
  </si>
  <si>
    <t>Podklad ze štěrkodrti s rozprostřením a zhutněním (frakce 0-32mm), tloušťka po zhutnění 200mm</t>
  </si>
  <si>
    <t>564851112RT3</t>
  </si>
  <si>
    <t xml:space="preserve">dlažba betonová, zámková; přírodní šedá, tl. 60 mm </t>
  </si>
  <si>
    <t xml:space="preserve">dlažba betonová, zámková; červená, slepecká, tl. 60 mm </t>
  </si>
  <si>
    <t>914001199RT9</t>
  </si>
  <si>
    <t>příplatek k cenám vykopávek za ztížení vykopávky v blízkosti podzemního vedení v horninách jakékoliv třídy,</t>
  </si>
  <si>
    <t>s vybouráním lože, s přemístěním hmot na skládku na vzdálenost do 3 m nebo naložením na dopravní prostředek,</t>
  </si>
  <si>
    <t>174101101R00</t>
  </si>
  <si>
    <t>z jakékoliv horniny s uložením výkopku po vrstvách,</t>
  </si>
  <si>
    <t>827-1</t>
  </si>
  <si>
    <t xml:space="preserve">Osazení a montáž svislých dopravních značek sloupek, do betonového základu,  </t>
  </si>
  <si>
    <t>91400R01</t>
  </si>
  <si>
    <t>Odstranění podkladů nebo krytů z kameniva hrubého drceného, v ploše jednotlivě nad 50 m2</t>
  </si>
  <si>
    <t>Značka dopravní, vč. sloupku 60mm, délky 2,5m + patice</t>
  </si>
  <si>
    <t>911011206RT9</t>
  </si>
  <si>
    <t>Demontáž svislých dopravních značek, vč. sloupků a patek</t>
  </si>
  <si>
    <t>954431111R00</t>
  </si>
  <si>
    <t xml:space="preserve">Výšková úprava uličního vstupu, vpustě nebo šoupěte do 20 cm 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</si>
  <si>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</si>
  <si>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59217002R</t>
  </si>
  <si>
    <t>573231130R00</t>
  </si>
  <si>
    <t>Postřik živičný spojovací bez posypu kamenivem z asfaltu silničního, v množství od 0,3 do 0,5 kg/m2</t>
  </si>
  <si>
    <t>s očištěním, přemístěním hmot na skládku na vzdálenost do 3 m nebo s naložením na dopravní prostředek,</t>
  </si>
  <si>
    <t>Přesun hmot komunikací, kryt živičný, nebo betonový jakékoliv délky objektu</t>
  </si>
  <si>
    <t>979086112R00</t>
  </si>
  <si>
    <t>Odvoz suti a vybouraných hmot na skládku do 1 km</t>
  </si>
  <si>
    <t>979081111R00</t>
  </si>
  <si>
    <t>Odvoz suti a vybouraných hmot na skládku příplatek za každý další 1 km</t>
  </si>
  <si>
    <t>Odkopávky a  prokopávky nezapažené v hornině 3_x000D_ příplatek k cenám za lepivost horniny</t>
  </si>
  <si>
    <t>Odkopávky a  prokopávky nezapažené v hornině 3_x000D_ do 100 m3</t>
  </si>
  <si>
    <t>59217012R</t>
  </si>
  <si>
    <t>obrubník silniční materiál beton,  l = 1000,0 mm; š = 150,0 mm; h = 150-250,0 mm; přechodový, barva přírodní L+P</t>
  </si>
  <si>
    <t>59217013R</t>
  </si>
  <si>
    <t>obrubník silniční materiál beton,  l = 1000,0 mm; š = 150,0 mm; h = 150 mm; nájezdový, barva přírodní</t>
  </si>
  <si>
    <t>915710190R04</t>
  </si>
  <si>
    <t>s naložením na dopravní prostředek,</t>
  </si>
  <si>
    <t>113107639R00</t>
  </si>
  <si>
    <t>113108510R00</t>
  </si>
  <si>
    <r>
      <t xml:space="preserve">Odstranění podkladů nebo krytů živičných, v ploše jednotlivě nad 50 m2, tloušťka vrstvy do </t>
    </r>
    <r>
      <rPr>
        <sz val="8"/>
        <color theme="1"/>
        <rFont val="Arial CE"/>
        <charset val="238"/>
      </rPr>
      <t>100</t>
    </r>
    <r>
      <rPr>
        <sz val="8"/>
        <rFont val="Arial CE"/>
        <charset val="238"/>
      </rPr>
      <t xml:space="preserve"> mm</t>
    </r>
  </si>
  <si>
    <t>113203101R00</t>
  </si>
  <si>
    <t>113203111R00</t>
  </si>
  <si>
    <t>Vytrhání obrub parkových nebo sadových stojatých nebo ležatých</t>
  </si>
  <si>
    <t>Dodávka a montáž geotextílie 300g/m2</t>
  </si>
  <si>
    <t>vč.přesahů a prořezů</t>
  </si>
  <si>
    <t>Podklad ze štěrkopísku tříděného s rozprostřením a zhutněním (frakce 0-4 mm), tloušťka po zhutnění 100 mm</t>
  </si>
  <si>
    <t>564840010RT2</t>
  </si>
  <si>
    <t>Podklad ze štěrkodrti s rozprostřením a zhutněním (frakce 17-22 mm), tloušťka po zhutnění 200 mm</t>
  </si>
  <si>
    <t>564850111RT2</t>
  </si>
  <si>
    <t>577141008RT2</t>
  </si>
  <si>
    <t>577132111RT2</t>
  </si>
  <si>
    <t>577151123RT3</t>
  </si>
  <si>
    <t>59245117R</t>
  </si>
  <si>
    <t>59245215R</t>
  </si>
  <si>
    <t>dle PD</t>
  </si>
  <si>
    <t>obrubník chodníkový betonový; l = 1000,0 mm; š = 70 mm; h = 250,0 mm; barva přírodní</t>
  </si>
  <si>
    <t>Město Mariánské Lázně</t>
  </si>
  <si>
    <t>Ruská 155/3</t>
  </si>
  <si>
    <t>353 01</t>
  </si>
  <si>
    <t>Mariánské Lázně</t>
  </si>
  <si>
    <t>00254061</t>
  </si>
  <si>
    <t>220013</t>
  </si>
  <si>
    <t>Ulice Tomáškova a Šafaříkova, Mariánské Lázně</t>
  </si>
  <si>
    <t>Mariánské Lázně, ulice Tomáškova a Šafaříkova</t>
  </si>
  <si>
    <t>pro opětovnou montáž, očištění, odvoz a uskladnění</t>
  </si>
  <si>
    <t>vč. základové patky, kotevní šrouby, montážní materiál</t>
  </si>
  <si>
    <t>Rozebrání komunikací ze silničních panelů s jakýmkoliv ložem a výplní spár_x000D_, vč. odvozu</t>
  </si>
  <si>
    <t>s očištěním, naložením na dopravní prostředek a přemístěním hmot na deponii do 5km, vč. složení na místo určené objednatelem</t>
  </si>
  <si>
    <r>
      <t xml:space="preserve">Rozebrání komunikací pro pěší s jakýmkoliv ložem a výplní spár_x000D_ ze zámkové nebo vegetační </t>
    </r>
    <r>
      <rPr>
        <sz val="8"/>
        <color theme="1"/>
        <rFont val="Arial CE"/>
        <charset val="238"/>
      </rPr>
      <t>dlažby tl. do 80mm</t>
    </r>
  </si>
  <si>
    <t>113106036R00</t>
  </si>
  <si>
    <t>113106111R00</t>
  </si>
  <si>
    <t>likvidace větví, nakládka a odvoz, poplatek za skládku</t>
  </si>
  <si>
    <t>190704101R00</t>
  </si>
  <si>
    <t>Odstranění křovin, dřevin o půměru kmene do 150mm, vč. kořenů</t>
  </si>
  <si>
    <t>Výsadba keřů do jamek, vč. zalití</t>
  </si>
  <si>
    <t>s dodávkou keřů výšky do 400mm, 4ks/m2 (výběr dle požadavků investora)</t>
  </si>
  <si>
    <t>113202599R00</t>
  </si>
  <si>
    <t>Podklad ze štěrkodrti s rozprostřením a zhutněním (frakce 0-32mm), tloušťka po zhutnění 150mm</t>
  </si>
  <si>
    <t>564851101RT3</t>
  </si>
  <si>
    <t>577141018RT2</t>
  </si>
  <si>
    <t>Postřik živičný infiltrační bez posypu kamenivem z asfaltu silničního, v množství od 0,5 do 0,7 kg/m2</t>
  </si>
  <si>
    <t>577151109RT2</t>
  </si>
  <si>
    <t>Beton asfaltový s rozprostřením a zhutněním v pruhu šířky přes 3 m, ACP 16-22+, tloušťky 60 mm</t>
  </si>
  <si>
    <t>Beton asfaltový s rozprostřením a zhutněním v pruhu šířky přes 3 m, ACO 8-11+, tloušťky 40 mm</t>
  </si>
  <si>
    <t>Kladení dlažby vegetační do drtě tloušťka dlažby do 100 mm, tloušťka lože 50 mm</t>
  </si>
  <si>
    <t>s provedením lože z kameniva drceného, s vyplněním děr a se smetením přebytečného materiálu na krajnici. S dodáním hmot pro lože a výplň spár.</t>
  </si>
  <si>
    <t xml:space="preserve">dlažba betonová vegetační, přírodní šedá, tl. 80 mm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</si>
  <si>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</si>
  <si>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Hloubení rýh šířky přes 60 do 200 cm příplatek za lepivost, v hornině 3,  </t>
  </si>
  <si>
    <t>Zřízení pažení a rozepření stěn rýh příložné  pro jakoukoliv mezerovitost, hloubky do 2 m</t>
  </si>
  <si>
    <t>pro podzemní vedení pro všechny šířky rýhy,</t>
  </si>
  <si>
    <t>Odstranění pažení a rozepření rýh příložné , hloubky do 2 m</t>
  </si>
  <si>
    <t>pro podzemní vedení s uložením materiálu na vzdálenost do 3 m od kraje výkopu, vč. očištění, nakládky a odvozu</t>
  </si>
  <si>
    <t>119101101R00</t>
  </si>
  <si>
    <t>119101115RT2</t>
  </si>
  <si>
    <t>114201211R00</t>
  </si>
  <si>
    <t>114201219R00</t>
  </si>
  <si>
    <t>Zásyp sypaninou se zhutněním jam, šachet, rýh nebo kolem objektů v těchto vykopávkách</t>
  </si>
  <si>
    <t>včetně strojního přemístění materiálu pro zásyp ze vzdálenosti do 10 m od okraje zásypu</t>
  </si>
  <si>
    <t>175101101RT2</t>
  </si>
  <si>
    <t>Obsyp potrubí bez prohození sypaniny, s dodáním štěrkopísku frakce 0 - 4 mm</t>
  </si>
  <si>
    <t>vč dopravy a manipulace, materiálem připraveným podél výkopu ve vzdálenosti do 3 m od jeho kraje, pro jakoukoliv hloubku výkopu a jakoukoliv míru zhutnění,</t>
  </si>
  <si>
    <t>8</t>
  </si>
  <si>
    <t>Trubní vedení</t>
  </si>
  <si>
    <t>komunikace a odvodnění</t>
  </si>
  <si>
    <t>Komunikace a odvodnění</t>
  </si>
  <si>
    <t>Rekapitulace dílů - SO 01 - Komunikace a odvodnění</t>
  </si>
  <si>
    <t>vodou nebo vzduchem,</t>
  </si>
  <si>
    <t>AP-HSV</t>
  </si>
  <si>
    <t>Zkoušky těsnosti kanalizačního potrubí zkouška těsnosti kanalizačního potrubí vodou_x000D_
 do DN 200 mm</t>
  </si>
  <si>
    <t xml:space="preserve">KG potrubí DN 160, SN8 </t>
  </si>
  <si>
    <t xml:space="preserve">Dodávka a montáž odpadního kanalizačního potrubí , DN 160 mm </t>
  </si>
  <si>
    <t>vč. navrtávky, zatmelení, úklidu</t>
  </si>
  <si>
    <t>Dodávka a montáž uliční kanalizační vpusti vč. odkaliště, koše a vtokové mříže D400</t>
  </si>
  <si>
    <t>kompletní sestava uliční vpusti dle PD, vč, dopravy, lože a obsypu z betonu prostého C16/20</t>
  </si>
  <si>
    <t>815201509RT2</t>
  </si>
  <si>
    <t>802661111R00</t>
  </si>
  <si>
    <t>894480513RT2</t>
  </si>
  <si>
    <t>894492388RA0</t>
  </si>
  <si>
    <t>Kladení žlabů betonových do lože z betonu prostého tl.100mm</t>
  </si>
  <si>
    <t>vč. lože z betonu prostého C16/20 a dopravy</t>
  </si>
  <si>
    <t>Demontáž stávajícího oplocení z pletiva, vč.sloupků</t>
  </si>
  <si>
    <t>vč. vytrhání sloupků, odvozu a likvidace</t>
  </si>
  <si>
    <t>Dodávka a montáž oplocení z pletiva, výšky do 180cm, vč sloupků, vzpěr a příslušenství</t>
  </si>
  <si>
    <t>vč. zeních prací, betonáž patek beton C16/20</t>
  </si>
  <si>
    <t>Žlab betonový malý, šířky 250mm</t>
  </si>
  <si>
    <t>8944801RA0</t>
  </si>
  <si>
    <t>Napojení potrubí do šachet betonových nebo na potrubí</t>
  </si>
  <si>
    <t>815201512RT2</t>
  </si>
  <si>
    <t>894482041RT2</t>
  </si>
  <si>
    <t>894482043RT2</t>
  </si>
  <si>
    <t>Dodávka a montáž kanalizační šachty DN 600, vč. poklopu D400</t>
  </si>
  <si>
    <t>kompletní sestava šachty dle PD, vč, dopravy, lože a obsypu z betonu prostého C16/20</t>
  </si>
  <si>
    <t>Dodávka a montáž kanalizační šachty DN 1000, vč. poklopu D400</t>
  </si>
  <si>
    <t xml:space="preserve">Hloubení jam, šachet, rýh šířky přes 60 do 200 cm, v hornině 3, hloubení strojně </t>
  </si>
  <si>
    <t>894483771RT2</t>
  </si>
  <si>
    <t>Dodávka a montáž akumulačních jímek</t>
  </si>
  <si>
    <t>soubor</t>
  </si>
  <si>
    <t>kompletní sestava jímek dle PD, jímky RO 1-5, vč, dopravy, lože, obsypu a zásypu</t>
  </si>
  <si>
    <t>RTS 22/II</t>
  </si>
  <si>
    <t>SO 04</t>
  </si>
  <si>
    <t>Veřejné osvětlení</t>
  </si>
  <si>
    <t>132201111R00</t>
  </si>
  <si>
    <t>Hloubení rýh šířky do 60cm v hornině tř.3, do 50m3, strojně</t>
  </si>
  <si>
    <t>s přehozením výkopku na vzdálenost do 3 m nebo s naložením na dopravní prostředek,</t>
  </si>
  <si>
    <t xml:space="preserve">Celková vzdálenost je závislá na možnostech zhotovitele a podmínkách skládkovaní v daném období. Zhotovitel je povinen si tyto podmínky zjistit a řádně ocenit tak, aby doprava výkopku na místo určení zahrnovala veškeré náklady s tím spojené. </t>
  </si>
  <si>
    <t>174101107R00</t>
  </si>
  <si>
    <t>Obsyp potrubí sypaninou se zhutněním kolem objektů do 0,02m3/kus</t>
  </si>
  <si>
    <t>ze ŠD 2/5, obsyp stožárů v pouzdře</t>
  </si>
  <si>
    <t>176151121RT2</t>
  </si>
  <si>
    <t>Štěrkodrť 2/5</t>
  </si>
  <si>
    <t>199000072R00</t>
  </si>
  <si>
    <t>2</t>
  </si>
  <si>
    <t>Základy a zvláštní zakládání</t>
  </si>
  <si>
    <t>274410713RT3</t>
  </si>
  <si>
    <t xml:space="preserve">Základové patky z betonu prostého C25/30 </t>
  </si>
  <si>
    <t>821-1</t>
  </si>
  <si>
    <t>vč. dopravy a ruční manipulace s osazením chrániček, urovnáním a udusáním betonu</t>
  </si>
  <si>
    <t>4</t>
  </si>
  <si>
    <t>Vodorovné konstrukce</t>
  </si>
  <si>
    <t>451573129R00</t>
  </si>
  <si>
    <t>Obsyp kabelu vč. lože z písku a štěrkopísku tl. 300 mm</t>
  </si>
  <si>
    <t>v otevřeném výkopu, vč. urovnání a manipulace</t>
  </si>
  <si>
    <t>451573137R00</t>
  </si>
  <si>
    <t>Písek tříděný 0/4 nebo 0/6</t>
  </si>
  <si>
    <t>M21</t>
  </si>
  <si>
    <t>Elektromontáže</t>
  </si>
  <si>
    <t>210172189RT5</t>
  </si>
  <si>
    <t>Připojení ke spínacímu bodu - zapojení vč. materiálu</t>
  </si>
  <si>
    <t>210108411RT0</t>
  </si>
  <si>
    <t>Demontáž stávajících svítidel (příp. uskladnění)</t>
  </si>
  <si>
    <t>výsuvná plošina, manipulace, likvidace (uskladnění), doprava</t>
  </si>
  <si>
    <t>210202115R00</t>
  </si>
  <si>
    <t>210204058RT1</t>
  </si>
  <si>
    <t>Dodávka a montáž sloupu do chráničky v bet.patce, vyrovnání a definitivní zajištění vč. výzbroje, zapojení, výsuvná plošina, dle PD</t>
  </si>
  <si>
    <t>210208704RT1</t>
  </si>
  <si>
    <t>Dodávka a montáž výložníku na sloup, vč. spoj. Materiálu, výsuvné plošiny, dle PD</t>
  </si>
  <si>
    <t>210810311R00</t>
  </si>
  <si>
    <t xml:space="preserve">Dodávka a montáž kabelu CYKY 3x1,5 mm2, </t>
  </si>
  <si>
    <t>210810369R00</t>
  </si>
  <si>
    <t>210820475R00</t>
  </si>
  <si>
    <t>Dodávka a montáž chráničky PVC PE 41/50</t>
  </si>
  <si>
    <t>210830388R00</t>
  </si>
  <si>
    <t>Dodávka a montáž zemnícího drátu FeZn-D10 vč. svorek</t>
  </si>
  <si>
    <t>210890012R00</t>
  </si>
  <si>
    <t>Fólie výstražná z PVC, šířka 30 cm</t>
  </si>
  <si>
    <t>Dodávka a montáž svítidla veřejného osvětlení (LED 26,5W/3000lm/2700K), tvrzené sklo</t>
  </si>
  <si>
    <t>Dodávka a montáž výložníků délky 2m na sloup veřejného osvětlení, barva dle výběru investora</t>
  </si>
  <si>
    <t>Dodávka a montáž sloupu veřejného osvětlení, výšky 6,7m, 2-stupňového, ocelového, včetně elektrovýzbroje - svorkovnice s pojistkou, teplem smrštitelné koncovky kabelu, trubičky na zemnící kulatinu, zvýšená IP, vč. betonové čepice s nátěrem polyuretanovým, barva dle výběru investora</t>
  </si>
  <si>
    <t>Dodávka a montáž sloupu veřejného osvětlení, výšky 5,8m, 3-stupňového, ocelového, včetně elektrovýzbroje - svorkovnice s pojistkou, teplem smrštitelné koncovky kabelu, trubičky na zemnící kulatinu, zvýšená IP, vč. betonové čepice s nátěrem polyuretanovým, barva dle výběru investora</t>
  </si>
  <si>
    <t xml:space="preserve">Dodávka a montáž kabelu CYKY-J  4 x 10 mm2, </t>
  </si>
  <si>
    <t>Dodávka a montáž chráničky PVC PE 94/110</t>
  </si>
  <si>
    <t>210820482R00</t>
  </si>
  <si>
    <t xml:space="preserve">M21 </t>
  </si>
  <si>
    <t>Rekapitulace dílů - SO 04 - Veřejné osvětlení</t>
  </si>
  <si>
    <t>Rekapitulace objektů</t>
  </si>
  <si>
    <t>Cena celkem bez DPH</t>
  </si>
  <si>
    <t>SO - 01 Komunikace a odvodnění</t>
  </si>
  <si>
    <t>SO - 04 Veřejné osvětlení</t>
  </si>
  <si>
    <t>894480515RT2</t>
  </si>
  <si>
    <t>Dodávka a montáž uliční kanalizační vpusti - ORL, koše, a vtokové mříže D400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</si>
</sst>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2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8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20" fillId="0" borderId="0" xfId="0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35" xfId="0" applyFont="1" applyBorder="1" applyAlignment="1">
      <alignment vertical="top"/>
    </xf>
    <xf numFmtId="49" fontId="8" fillId="0" borderId="35" xfId="0" applyNumberFormat="1" applyFont="1" applyBorder="1" applyAlignment="1">
      <alignment vertical="top"/>
    </xf>
    <xf numFmtId="4" fontId="8" fillId="0" borderId="35" xfId="0" applyNumberFormat="1" applyFont="1" applyBorder="1" applyAlignment="1">
      <alignment vertical="top" shrinkToFit="1"/>
    </xf>
    <xf numFmtId="4" fontId="18" fillId="0" borderId="0" xfId="0" applyNumberFormat="1" applyFont="1"/>
    <xf numFmtId="0" fontId="0" fillId="0" borderId="17" xfId="0" applyBorder="1" applyAlignment="1">
      <alignment horizontal="left" vertical="center" indent="1"/>
    </xf>
    <xf numFmtId="49" fontId="0" fillId="3" borderId="35" xfId="0" applyNumberFormat="1" applyFill="1" applyBorder="1" applyAlignment="1">
      <alignment vertical="center"/>
    </xf>
    <xf numFmtId="4" fontId="18" fillId="4" borderId="0" xfId="0" applyNumberFormat="1" applyFont="1" applyFill="1" applyAlignment="1" applyProtection="1">
      <alignment vertical="top" shrinkToFit="1"/>
      <protection locked="0"/>
    </xf>
    <xf numFmtId="49" fontId="18" fillId="0" borderId="18" xfId="0" applyNumberFormat="1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vertical="top" shrinkToFit="1"/>
    </xf>
    <xf numFmtId="164" fontId="18" fillId="0" borderId="18" xfId="0" applyNumberFormat="1" applyFont="1" applyBorder="1" applyAlignment="1">
      <alignment vertical="top" shrinkToFit="1"/>
    </xf>
    <xf numFmtId="4" fontId="18" fillId="0" borderId="18" xfId="0" applyNumberFormat="1" applyFont="1" applyBorder="1" applyAlignment="1">
      <alignment vertical="top" shrinkToFit="1"/>
    </xf>
    <xf numFmtId="0" fontId="0" fillId="0" borderId="37" xfId="0" applyBorder="1"/>
    <xf numFmtId="0" fontId="0" fillId="0" borderId="36" xfId="0" applyBorder="1" applyAlignment="1">
      <alignment vertical="center"/>
    </xf>
    <xf numFmtId="0" fontId="0" fillId="0" borderId="41" xfId="0" applyBorder="1"/>
    <xf numFmtId="0" fontId="0" fillId="3" borderId="36" xfId="0" applyFill="1" applyBorder="1" applyAlignment="1">
      <alignment vertical="center"/>
    </xf>
    <xf numFmtId="0" fontId="0" fillId="0" borderId="26" xfId="0" applyBorder="1"/>
    <xf numFmtId="164" fontId="18" fillId="0" borderId="39" xfId="0" applyNumberFormat="1" applyFont="1" applyBorder="1" applyAlignment="1">
      <alignment vertical="top" shrinkToFit="1"/>
    </xf>
    <xf numFmtId="49" fontId="8" fillId="0" borderId="0" xfId="0" applyNumberFormat="1" applyFont="1" applyAlignment="1">
      <alignment horizontal="left" vertical="center"/>
    </xf>
    <xf numFmtId="4" fontId="18" fillId="0" borderId="18" xfId="0" applyNumberFormat="1" applyFont="1" applyBorder="1" applyAlignment="1" applyProtection="1">
      <alignment vertical="top" shrinkToFit="1"/>
      <protection locked="0"/>
    </xf>
    <xf numFmtId="4" fontId="18" fillId="0" borderId="40" xfId="0" applyNumberFormat="1" applyFont="1" applyBorder="1" applyAlignment="1">
      <alignment vertical="top" shrinkToFit="1"/>
    </xf>
    <xf numFmtId="49" fontId="0" fillId="0" borderId="35" xfId="0" applyNumberFormat="1" applyBorder="1" applyAlignment="1">
      <alignment vertical="center"/>
    </xf>
    <xf numFmtId="49" fontId="8" fillId="0" borderId="35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vertical="center"/>
    </xf>
    <xf numFmtId="0" fontId="18" fillId="0" borderId="38" xfId="0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4" fontId="18" fillId="0" borderId="39" xfId="0" applyNumberFormat="1" applyFont="1" applyBorder="1" applyAlignment="1">
      <alignment vertical="top" shrinkToFit="1"/>
    </xf>
    <xf numFmtId="4" fontId="18" fillId="0" borderId="39" xfId="0" applyNumberFormat="1" applyFont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9" fontId="18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center" vertical="top" shrinkToFit="1"/>
    </xf>
    <xf numFmtId="164" fontId="18" fillId="0" borderId="0" xfId="0" applyNumberFormat="1" applyFont="1" applyAlignment="1">
      <alignment vertical="top" shrinkToFit="1"/>
    </xf>
    <xf numFmtId="49" fontId="18" fillId="0" borderId="0" xfId="0" applyNumberFormat="1" applyFont="1" applyAlignment="1">
      <alignment vertical="top"/>
    </xf>
    <xf numFmtId="49" fontId="18" fillId="0" borderId="39" xfId="0" applyNumberFormat="1" applyFont="1" applyBorder="1" applyAlignment="1">
      <alignment vertical="top"/>
    </xf>
    <xf numFmtId="49" fontId="18" fillId="0" borderId="39" xfId="0" applyNumberFormat="1" applyFont="1" applyBorder="1" applyAlignment="1">
      <alignment horizontal="left" vertical="top" wrapText="1"/>
    </xf>
    <xf numFmtId="0" fontId="18" fillId="0" borderId="0" xfId="0" applyFont="1" applyAlignment="1">
      <alignment vertical="top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9" fontId="18" fillId="4" borderId="0" xfId="0" applyNumberFormat="1" applyFont="1" applyFill="1" applyAlignment="1" applyProtection="1">
      <alignment horizontal="left" vertical="top" wrapText="1"/>
      <protection locked="0"/>
    </xf>
    <xf numFmtId="49" fontId="18" fillId="4" borderId="0" xfId="0" applyNumberFormat="1" applyFont="1" applyFill="1" applyAlignment="1" applyProtection="1">
      <alignment vertical="top"/>
      <protection locked="0"/>
    </xf>
    <xf numFmtId="49" fontId="18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vertical="top"/>
      <protection locked="0"/>
    </xf>
    <xf numFmtId="49" fontId="18" fillId="4" borderId="6" xfId="0" applyNumberFormat="1" applyFont="1" applyFill="1" applyBorder="1" applyAlignment="1" applyProtection="1">
      <alignment horizontal="left" vertical="top" wrapText="1"/>
      <protection locked="0"/>
    </xf>
    <xf numFmtId="4" fontId="18" fillId="0" borderId="0" xfId="0" applyNumberFormat="1" applyFont="1" applyAlignment="1" applyProtection="1">
      <alignment vertical="top" shrinkToFit="1"/>
      <protection locked="0"/>
    </xf>
    <xf numFmtId="49" fontId="18" fillId="0" borderId="43" xfId="0" applyNumberFormat="1" applyFont="1" applyBorder="1" applyAlignment="1">
      <alignment horizontal="left" vertical="top" wrapText="1"/>
    </xf>
    <xf numFmtId="0" fontId="18" fillId="0" borderId="43" xfId="0" applyFont="1" applyBorder="1" applyAlignment="1">
      <alignment horizontal="center" vertical="top" shrinkToFit="1"/>
    </xf>
    <xf numFmtId="164" fontId="18" fillId="0" borderId="43" xfId="0" applyNumberFormat="1" applyFont="1" applyBorder="1" applyAlignment="1">
      <alignment vertical="top" shrinkToFit="1"/>
    </xf>
    <xf numFmtId="4" fontId="18" fillId="4" borderId="43" xfId="0" applyNumberFormat="1" applyFont="1" applyFill="1" applyBorder="1" applyAlignment="1" applyProtection="1">
      <alignment vertical="top" shrinkToFit="1"/>
      <protection locked="0"/>
    </xf>
    <xf numFmtId="4" fontId="18" fillId="0" borderId="43" xfId="0" applyNumberFormat="1" applyFont="1" applyBorder="1" applyAlignment="1">
      <alignment vertical="top" shrinkToFit="1"/>
    </xf>
    <xf numFmtId="0" fontId="8" fillId="3" borderId="34" xfId="0" applyFont="1" applyFill="1" applyBorder="1" applyAlignment="1">
      <alignment vertical="top"/>
    </xf>
    <xf numFmtId="49" fontId="8" fillId="3" borderId="35" xfId="0" applyNumberFormat="1" applyFont="1" applyFill="1" applyBorder="1" applyAlignment="1">
      <alignment vertical="top"/>
    </xf>
    <xf numFmtId="49" fontId="8" fillId="3" borderId="35" xfId="0" applyNumberFormat="1" applyFont="1" applyFill="1" applyBorder="1" applyAlignment="1">
      <alignment horizontal="left" vertical="top" wrapText="1"/>
    </xf>
    <xf numFmtId="0" fontId="8" fillId="3" borderId="35" xfId="0" applyFont="1" applyFill="1" applyBorder="1" applyAlignment="1">
      <alignment horizontal="center" vertical="top"/>
    </xf>
    <xf numFmtId="0" fontId="8" fillId="3" borderId="35" xfId="0" applyFont="1" applyFill="1" applyBorder="1" applyAlignment="1">
      <alignment vertical="top"/>
    </xf>
    <xf numFmtId="49" fontId="7" fillId="0" borderId="34" xfId="0" applyNumberFormat="1" applyFont="1" applyBorder="1" applyAlignment="1">
      <alignment vertical="center"/>
    </xf>
    <xf numFmtId="4" fontId="7" fillId="0" borderId="36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6" fillId="5" borderId="34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46" xfId="0" applyFont="1" applyFill="1" applyBorder="1" applyAlignment="1">
      <alignment horizontal="center" vertical="center" wrapText="1"/>
    </xf>
    <xf numFmtId="4" fontId="7" fillId="3" borderId="45" xfId="0" applyNumberFormat="1" applyFont="1" applyFill="1" applyBorder="1" applyAlignment="1">
      <alignment vertical="center"/>
    </xf>
    <xf numFmtId="4" fontId="16" fillId="3" borderId="45" xfId="0" applyNumberFormat="1" applyFont="1" applyFill="1" applyBorder="1" applyAlignment="1">
      <alignment vertical="center"/>
    </xf>
    <xf numFmtId="3" fontId="16" fillId="3" borderId="46" xfId="0" applyNumberFormat="1" applyFont="1" applyFill="1" applyBorder="1" applyAlignment="1">
      <alignment horizontal="center" vertical="center"/>
    </xf>
    <xf numFmtId="4" fontId="7" fillId="0" borderId="49" xfId="0" applyNumberFormat="1" applyFont="1" applyBorder="1" applyAlignment="1">
      <alignment vertical="center"/>
    </xf>
    <xf numFmtId="4" fontId="16" fillId="0" borderId="49" xfId="0" applyNumberFormat="1" applyFont="1" applyBorder="1" applyAlignment="1">
      <alignment vertical="center"/>
    </xf>
    <xf numFmtId="4" fontId="7" fillId="0" borderId="50" xfId="0" applyNumberFormat="1" applyFont="1" applyBorder="1" applyAlignment="1">
      <alignment vertical="center"/>
    </xf>
    <xf numFmtId="4" fontId="16" fillId="0" borderId="50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left" vertical="center"/>
    </xf>
    <xf numFmtId="49" fontId="16" fillId="0" borderId="47" xfId="0" applyNumberFormat="1" applyFont="1" applyBorder="1" applyAlignment="1">
      <alignment horizontal="left" vertical="center"/>
    </xf>
    <xf numFmtId="49" fontId="16" fillId="0" borderId="48" xfId="0" applyNumberFormat="1" applyFont="1" applyBorder="1" applyAlignment="1">
      <alignment horizontal="left" vertical="center"/>
    </xf>
    <xf numFmtId="49" fontId="16" fillId="0" borderId="17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/>
    </xf>
    <xf numFmtId="49" fontId="16" fillId="0" borderId="37" xfId="0" applyNumberFormat="1" applyFont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44" xfId="0" applyFont="1" applyFill="1" applyBorder="1" applyAlignment="1">
      <alignment horizontal="left" vertical="center"/>
    </xf>
    <xf numFmtId="49" fontId="7" fillId="0" borderId="34" xfId="0" applyNumberFormat="1" applyFont="1" applyBorder="1" applyAlignment="1">
      <alignment vertical="center" wrapText="1"/>
    </xf>
    <xf numFmtId="49" fontId="7" fillId="0" borderId="35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49" fontId="18" fillId="4" borderId="18" xfId="0" applyNumberFormat="1" applyFont="1" applyFill="1" applyBorder="1" applyAlignment="1" applyProtection="1">
      <alignment horizontal="left" vertical="top" wrapText="1"/>
      <protection locked="0"/>
    </xf>
    <xf numFmtId="49" fontId="18" fillId="4" borderId="18" xfId="0" applyNumberFormat="1" applyFont="1" applyFill="1" applyBorder="1" applyAlignment="1" applyProtection="1">
      <alignment vertical="top"/>
      <protection locked="0"/>
    </xf>
    <xf numFmtId="49" fontId="18" fillId="4" borderId="35" xfId="0" applyNumberFormat="1" applyFont="1" applyFill="1" applyBorder="1" applyAlignment="1" applyProtection="1">
      <alignment horizontal="left" vertical="top" wrapText="1"/>
      <protection locked="0"/>
    </xf>
    <xf numFmtId="49" fontId="18" fillId="4" borderId="0" xfId="0" applyNumberFormat="1" applyFont="1" applyFill="1" applyAlignment="1" applyProtection="1">
      <alignment horizontal="left" vertical="top" wrapText="1"/>
      <protection locked="0"/>
    </xf>
    <xf numFmtId="49" fontId="18" fillId="4" borderId="0" xfId="0" applyNumberFormat="1" applyFont="1" applyFill="1" applyAlignment="1" applyProtection="1">
      <alignment vertical="top"/>
      <protection locked="0"/>
    </xf>
    <xf numFmtId="49" fontId="18" fillId="4" borderId="6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8" fillId="0" borderId="35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49" fontId="0" fillId="3" borderId="6" xfId="0" applyNumberForma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37</v>
      </c>
    </row>
    <row r="2" spans="1:7" ht="57.75" customHeight="1" x14ac:dyDescent="0.2">
      <c r="A2" s="232" t="s">
        <v>38</v>
      </c>
      <c r="B2" s="232"/>
      <c r="C2" s="232"/>
      <c r="D2" s="232"/>
      <c r="E2" s="232"/>
      <c r="F2" s="232"/>
      <c r="G2" s="232"/>
    </row>
  </sheetData>
  <sheetProtection password="C73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8"/>
  <sheetViews>
    <sheetView showGridLines="0" tabSelected="1" topLeftCell="B15" zoomScale="130" zoomScaleNormal="130" zoomScaleSheetLayoutView="75" workbookViewId="0">
      <selection activeCell="I21" sqref="I21:J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7" width="13" customWidth="1"/>
    <col min="8" max="8" width="11.5703125" customWidth="1"/>
    <col min="9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35</v>
      </c>
      <c r="B1" s="279" t="s">
        <v>40</v>
      </c>
      <c r="C1" s="280"/>
      <c r="D1" s="280"/>
      <c r="E1" s="280"/>
      <c r="F1" s="280"/>
      <c r="G1" s="280"/>
      <c r="H1" s="280"/>
      <c r="I1" s="280"/>
      <c r="J1" s="281"/>
    </row>
    <row r="2" spans="1:15" ht="36" customHeight="1" x14ac:dyDescent="0.2">
      <c r="A2" s="2"/>
      <c r="B2" s="74" t="s">
        <v>22</v>
      </c>
      <c r="C2" s="75"/>
      <c r="D2" s="76" t="s">
        <v>246</v>
      </c>
      <c r="E2" s="285" t="s">
        <v>247</v>
      </c>
      <c r="F2" s="286"/>
      <c r="G2" s="286"/>
      <c r="H2" s="286"/>
      <c r="I2" s="286"/>
      <c r="J2" s="287"/>
      <c r="O2" s="1"/>
    </row>
    <row r="3" spans="1:15" ht="27" customHeight="1" x14ac:dyDescent="0.2">
      <c r="A3" s="2"/>
      <c r="B3" s="77" t="s">
        <v>45</v>
      </c>
      <c r="C3" s="75"/>
      <c r="D3" s="78" t="s">
        <v>43</v>
      </c>
      <c r="E3" s="288" t="s">
        <v>289</v>
      </c>
      <c r="F3" s="289"/>
      <c r="G3" s="289"/>
      <c r="H3" s="289"/>
      <c r="I3" s="289"/>
      <c r="J3" s="290"/>
    </row>
    <row r="4" spans="1:15" ht="23.25" customHeight="1" x14ac:dyDescent="0.2">
      <c r="A4" s="73">
        <v>203</v>
      </c>
      <c r="B4" s="79" t="s">
        <v>46</v>
      </c>
      <c r="C4" s="80"/>
      <c r="D4" s="81" t="s">
        <v>246</v>
      </c>
      <c r="E4" s="270" t="s">
        <v>248</v>
      </c>
      <c r="F4" s="271"/>
      <c r="G4" s="271"/>
      <c r="H4" s="271"/>
      <c r="I4" s="271"/>
      <c r="J4" s="272"/>
    </row>
    <row r="5" spans="1:15" ht="24" customHeight="1" x14ac:dyDescent="0.2">
      <c r="A5" s="2"/>
      <c r="B5" s="31" t="s">
        <v>168</v>
      </c>
      <c r="D5" s="275" t="s">
        <v>241</v>
      </c>
      <c r="E5" s="275"/>
      <c r="F5" s="275"/>
      <c r="G5" s="275"/>
      <c r="H5" s="18" t="s">
        <v>39</v>
      </c>
      <c r="I5" s="176" t="s">
        <v>245</v>
      </c>
      <c r="J5" s="8"/>
    </row>
    <row r="6" spans="1:15" ht="15.75" customHeight="1" x14ac:dyDescent="0.2">
      <c r="A6" s="2"/>
      <c r="B6" s="28"/>
      <c r="C6" s="54"/>
      <c r="D6" s="276" t="s">
        <v>242</v>
      </c>
      <c r="E6" s="277"/>
      <c r="F6" s="277"/>
      <c r="G6" s="277"/>
      <c r="H6" s="18" t="s">
        <v>33</v>
      </c>
      <c r="I6" s="22"/>
      <c r="J6" s="8"/>
    </row>
    <row r="7" spans="1:15" ht="15.75" customHeight="1" x14ac:dyDescent="0.2">
      <c r="A7" s="2"/>
      <c r="B7" s="29"/>
      <c r="C7" s="55"/>
      <c r="D7" s="52" t="s">
        <v>243</v>
      </c>
      <c r="E7" s="278" t="s">
        <v>244</v>
      </c>
      <c r="F7" s="278"/>
      <c r="G7" s="27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0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92"/>
      <c r="E11" s="292"/>
      <c r="F11" s="292"/>
      <c r="G11" s="292"/>
      <c r="H11" s="18" t="s">
        <v>39</v>
      </c>
      <c r="I11" s="83"/>
      <c r="J11" s="8"/>
    </row>
    <row r="12" spans="1:15" ht="15.75" customHeight="1" x14ac:dyDescent="0.2">
      <c r="A12" s="2"/>
      <c r="B12" s="28"/>
      <c r="C12" s="54"/>
      <c r="D12" s="269"/>
      <c r="E12" s="269"/>
      <c r="F12" s="269"/>
      <c r="G12" s="269"/>
      <c r="H12" s="18" t="s">
        <v>33</v>
      </c>
      <c r="I12" s="83"/>
      <c r="J12" s="8"/>
    </row>
    <row r="13" spans="1:15" ht="15.75" customHeight="1" x14ac:dyDescent="0.2">
      <c r="A13" s="2"/>
      <c r="B13" s="29"/>
      <c r="C13" s="55"/>
      <c r="D13" s="82"/>
      <c r="E13" s="273"/>
      <c r="F13" s="274"/>
      <c r="G13" s="274"/>
      <c r="H13" s="19"/>
      <c r="I13" s="23"/>
      <c r="J13" s="34"/>
    </row>
    <row r="14" spans="1:15" ht="24" customHeight="1" x14ac:dyDescent="0.2">
      <c r="A14" s="2"/>
      <c r="B14" s="163" t="s">
        <v>21</v>
      </c>
      <c r="C14" s="275" t="s">
        <v>167</v>
      </c>
      <c r="D14" s="275"/>
      <c r="E14" s="57"/>
      <c r="F14" s="43"/>
      <c r="G14" s="43"/>
      <c r="H14" s="44"/>
      <c r="I14" s="43"/>
      <c r="J14" s="45"/>
    </row>
    <row r="15" spans="1:15" ht="32.25" customHeight="1" x14ac:dyDescent="0.2">
      <c r="A15" s="2"/>
      <c r="B15" s="35" t="s">
        <v>31</v>
      </c>
      <c r="C15" s="58"/>
      <c r="D15" s="53"/>
      <c r="E15" s="291"/>
      <c r="F15" s="291"/>
      <c r="G15" s="293"/>
      <c r="H15" s="293"/>
      <c r="I15" s="293" t="s">
        <v>28</v>
      </c>
      <c r="J15" s="294"/>
    </row>
    <row r="16" spans="1:15" ht="23.25" customHeight="1" x14ac:dyDescent="0.2">
      <c r="A16" s="137" t="s">
        <v>23</v>
      </c>
      <c r="B16" s="38" t="s">
        <v>23</v>
      </c>
      <c r="C16" s="59"/>
      <c r="D16" s="60"/>
      <c r="E16" s="258"/>
      <c r="F16" s="259"/>
      <c r="G16" s="258"/>
      <c r="H16" s="259"/>
      <c r="I16" s="258">
        <f>I50-I18-I19-I20</f>
        <v>0</v>
      </c>
      <c r="J16" s="260"/>
    </row>
    <row r="17" spans="1:10" ht="23.25" customHeight="1" x14ac:dyDescent="0.2">
      <c r="A17" s="137" t="s">
        <v>24</v>
      </c>
      <c r="B17" s="38" t="s">
        <v>24</v>
      </c>
      <c r="C17" s="59"/>
      <c r="D17" s="60"/>
      <c r="E17" s="258"/>
      <c r="F17" s="259"/>
      <c r="G17" s="258"/>
      <c r="H17" s="259"/>
      <c r="I17" s="258">
        <v>0</v>
      </c>
      <c r="J17" s="260"/>
    </row>
    <row r="18" spans="1:10" ht="23.25" customHeight="1" x14ac:dyDescent="0.2">
      <c r="A18" s="137" t="s">
        <v>25</v>
      </c>
      <c r="B18" s="38" t="s">
        <v>25</v>
      </c>
      <c r="C18" s="59"/>
      <c r="D18" s="60"/>
      <c r="E18" s="258"/>
      <c r="F18" s="259"/>
      <c r="G18" s="258"/>
      <c r="H18" s="259"/>
      <c r="I18" s="258">
        <f>I75</f>
        <v>0</v>
      </c>
      <c r="J18" s="260"/>
    </row>
    <row r="19" spans="1:10" ht="23.25" customHeight="1" x14ac:dyDescent="0.2">
      <c r="A19" s="137" t="s">
        <v>63</v>
      </c>
      <c r="B19" s="38" t="s">
        <v>26</v>
      </c>
      <c r="C19" s="59"/>
      <c r="D19" s="60"/>
      <c r="E19" s="258"/>
      <c r="F19" s="259"/>
      <c r="G19" s="258"/>
      <c r="H19" s="259"/>
      <c r="I19" s="258">
        <f>I65</f>
        <v>0</v>
      </c>
      <c r="J19" s="260"/>
    </row>
    <row r="20" spans="1:10" ht="23.25" customHeight="1" x14ac:dyDescent="0.2">
      <c r="A20" s="137" t="s">
        <v>64</v>
      </c>
      <c r="B20" s="38" t="s">
        <v>27</v>
      </c>
      <c r="C20" s="59"/>
      <c r="D20" s="60"/>
      <c r="E20" s="258"/>
      <c r="F20" s="259"/>
      <c r="G20" s="258"/>
      <c r="H20" s="259"/>
      <c r="I20" s="258">
        <f>I66</f>
        <v>0</v>
      </c>
      <c r="J20" s="260"/>
    </row>
    <row r="21" spans="1:10" ht="23.25" customHeight="1" x14ac:dyDescent="0.2">
      <c r="A21" s="2"/>
      <c r="B21" s="47" t="s">
        <v>169</v>
      </c>
      <c r="C21" s="61"/>
      <c r="D21" s="62"/>
      <c r="E21" s="261"/>
      <c r="F21" s="295"/>
      <c r="G21" s="261"/>
      <c r="H21" s="295"/>
      <c r="I21" s="261">
        <f>I16+I19+I20+I18</f>
        <v>0</v>
      </c>
      <c r="J21" s="262"/>
    </row>
    <row r="22" spans="1:10" ht="33" customHeight="1" x14ac:dyDescent="0.2">
      <c r="A22" s="2"/>
      <c r="B22" s="42" t="s">
        <v>32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59"/>
      <c r="D23" s="60"/>
      <c r="E23" s="64">
        <v>15</v>
      </c>
      <c r="F23" s="39" t="s">
        <v>0</v>
      </c>
      <c r="G23" s="256">
        <v>0</v>
      </c>
      <c r="H23" s="257"/>
      <c r="I23" s="257"/>
      <c r="J23" s="40" t="str">
        <f t="shared" ref="J23:J29" si="0">Mena</f>
        <v>CZK</v>
      </c>
    </row>
    <row r="24" spans="1:10" ht="23.25" hidden="1" customHeight="1" x14ac:dyDescent="0.2">
      <c r="A24" s="2"/>
      <c r="B24" s="38" t="s">
        <v>13</v>
      </c>
      <c r="C24" s="59"/>
      <c r="D24" s="60"/>
      <c r="E24" s="64">
        <f>SazbaDPH1</f>
        <v>15</v>
      </c>
      <c r="F24" s="39" t="s">
        <v>0</v>
      </c>
      <c r="G24" s="254">
        <v>0</v>
      </c>
      <c r="H24" s="255"/>
      <c r="I24" s="25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59"/>
      <c r="D25" s="60"/>
      <c r="E25" s="64">
        <v>21</v>
      </c>
      <c r="F25" s="39" t="s">
        <v>0</v>
      </c>
      <c r="G25" s="256">
        <f>I16+I18+I19+I20</f>
        <v>0</v>
      </c>
      <c r="H25" s="257"/>
      <c r="I25" s="25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5"/>
      <c r="D26" s="53"/>
      <c r="E26" s="66">
        <f>SazbaDPH2</f>
        <v>21</v>
      </c>
      <c r="F26" s="30" t="s">
        <v>0</v>
      </c>
      <c r="G26" s="282">
        <v>0</v>
      </c>
      <c r="H26" s="283"/>
      <c r="I26" s="283"/>
      <c r="J26" s="37" t="str">
        <f t="shared" si="0"/>
        <v>CZK</v>
      </c>
    </row>
    <row r="27" spans="1:10" ht="23.25" customHeight="1" x14ac:dyDescent="0.2">
      <c r="A27" s="2"/>
      <c r="B27" s="38" t="s">
        <v>170</v>
      </c>
      <c r="C27" s="59"/>
      <c r="D27" s="60"/>
      <c r="E27" s="64">
        <v>21</v>
      </c>
      <c r="F27" s="39" t="s">
        <v>0</v>
      </c>
      <c r="G27" s="256">
        <f>ZakladDPHZakl/100*21</f>
        <v>0</v>
      </c>
      <c r="H27" s="257"/>
      <c r="I27" s="257"/>
      <c r="J27" s="40" t="str">
        <f t="shared" si="0"/>
        <v>CZK</v>
      </c>
    </row>
    <row r="28" spans="1:10" ht="23.25" customHeight="1" thickBot="1" x14ac:dyDescent="0.25">
      <c r="A28" s="2">
        <f>ZakladDPHSni+ZakladDPHZakl</f>
        <v>0</v>
      </c>
      <c r="B28" s="31" t="s">
        <v>4</v>
      </c>
      <c r="C28" s="67"/>
      <c r="D28" s="68"/>
      <c r="E28" s="67"/>
      <c r="F28" s="16"/>
      <c r="G28" s="284">
        <v>0</v>
      </c>
      <c r="H28" s="284"/>
      <c r="I28" s="284"/>
      <c r="J28" s="41" t="str">
        <f t="shared" si="0"/>
        <v>CZK</v>
      </c>
    </row>
    <row r="29" spans="1:10" ht="27.75" customHeight="1" thickBot="1" x14ac:dyDescent="0.25">
      <c r="A29" s="2">
        <f>(A28-INT(A28))*100</f>
        <v>0</v>
      </c>
      <c r="B29" s="114" t="s">
        <v>34</v>
      </c>
      <c r="C29" s="115"/>
      <c r="D29" s="115"/>
      <c r="E29" s="116"/>
      <c r="F29" s="117"/>
      <c r="G29" s="263">
        <f>ZakladDPHZakl*1.21</f>
        <v>0</v>
      </c>
      <c r="H29" s="264"/>
      <c r="I29" s="264"/>
      <c r="J29" s="118" t="str">
        <f t="shared" si="0"/>
        <v>CZK</v>
      </c>
    </row>
    <row r="30" spans="1:10" ht="27.75" hidden="1" customHeight="1" thickBot="1" x14ac:dyDescent="0.25">
      <c r="A30" s="2"/>
      <c r="B30" s="114" t="s">
        <v>34</v>
      </c>
      <c r="C30" s="119"/>
      <c r="D30" s="119"/>
      <c r="E30" s="119"/>
      <c r="F30" s="120"/>
      <c r="G30" s="263">
        <f>ZakladDPHSni+DPHSni+ZakladDPHZakl+DPHZakl+Zaokrouhleni</f>
        <v>0</v>
      </c>
      <c r="H30" s="263"/>
      <c r="I30" s="263"/>
      <c r="J30" s="121" t="s">
        <v>50</v>
      </c>
    </row>
    <row r="31" spans="1:10" ht="12.75" customHeight="1" x14ac:dyDescent="0.2">
      <c r="A31" s="2"/>
      <c r="B31" s="2"/>
      <c r="J31" s="9"/>
    </row>
    <row r="32" spans="1:10" ht="30" customHeight="1" x14ac:dyDescent="0.2">
      <c r="A32" s="2"/>
      <c r="B32" s="2"/>
      <c r="J32" s="9"/>
    </row>
    <row r="33" spans="1:10" ht="18.75" customHeight="1" x14ac:dyDescent="0.2">
      <c r="A33" s="2"/>
      <c r="B33" s="17"/>
      <c r="C33" s="69" t="s">
        <v>11</v>
      </c>
      <c r="D33" s="70"/>
      <c r="E33" s="70"/>
      <c r="F33" s="15" t="s">
        <v>10</v>
      </c>
      <c r="G33" s="26"/>
      <c r="H33" s="27"/>
      <c r="I33" s="26"/>
      <c r="J33" s="9"/>
    </row>
    <row r="34" spans="1:10" ht="47.25" customHeight="1" x14ac:dyDescent="0.2">
      <c r="A34" s="2"/>
      <c r="B34" s="2"/>
      <c r="J34" s="9"/>
    </row>
    <row r="35" spans="1:10" s="21" customFormat="1" ht="18.75" customHeight="1" x14ac:dyDescent="0.2">
      <c r="A35" s="20"/>
      <c r="B35" s="20"/>
      <c r="C35" s="71"/>
      <c r="D35" s="265"/>
      <c r="E35" s="266"/>
      <c r="G35" s="267"/>
      <c r="H35" s="268"/>
      <c r="I35" s="268"/>
      <c r="J35" s="25"/>
    </row>
    <row r="36" spans="1:10" ht="12.75" customHeight="1" x14ac:dyDescent="0.2">
      <c r="A36" s="2"/>
      <c r="B36" s="2"/>
      <c r="D36" s="253" t="s">
        <v>2</v>
      </c>
      <c r="E36" s="253"/>
      <c r="H36" s="10" t="s">
        <v>3</v>
      </c>
      <c r="J36" s="9"/>
    </row>
    <row r="37" spans="1:10" ht="13.5" customHeight="1" thickBot="1" x14ac:dyDescent="0.25">
      <c r="A37" s="11"/>
      <c r="B37" s="11"/>
      <c r="C37" s="72"/>
      <c r="D37" s="72"/>
      <c r="E37" s="72"/>
      <c r="F37" s="12"/>
      <c r="G37" s="12"/>
      <c r="H37" s="12"/>
      <c r="I37" s="12"/>
      <c r="J37" s="13"/>
    </row>
    <row r="38" spans="1:10" ht="27" hidden="1" customHeight="1" x14ac:dyDescent="0.2">
      <c r="B38" s="87" t="s">
        <v>16</v>
      </c>
      <c r="C38" s="88"/>
      <c r="D38" s="88"/>
      <c r="E38" s="88"/>
      <c r="F38" s="89"/>
      <c r="G38" s="89"/>
      <c r="H38" s="89"/>
      <c r="I38" s="89"/>
      <c r="J38" s="90"/>
    </row>
    <row r="39" spans="1:10" ht="25.5" hidden="1" customHeight="1" x14ac:dyDescent="0.2">
      <c r="A39" s="86" t="s">
        <v>36</v>
      </c>
      <c r="B39" s="91" t="s">
        <v>17</v>
      </c>
      <c r="C39" s="92" t="s">
        <v>5</v>
      </c>
      <c r="D39" s="92"/>
      <c r="E39" s="92"/>
      <c r="F39" s="93" t="str">
        <f>B23</f>
        <v>Základ pro sníženou DPH</v>
      </c>
      <c r="G39" s="93" t="str">
        <f>B25</f>
        <v>Základ pro základní DPH</v>
      </c>
      <c r="H39" s="94" t="s">
        <v>18</v>
      </c>
      <c r="I39" s="95" t="s">
        <v>1</v>
      </c>
      <c r="J39" s="96" t="s">
        <v>0</v>
      </c>
    </row>
    <row r="40" spans="1:10" ht="25.5" hidden="1" customHeight="1" x14ac:dyDescent="0.2">
      <c r="A40" s="86">
        <v>1</v>
      </c>
      <c r="B40" s="97" t="s">
        <v>47</v>
      </c>
      <c r="C40" s="249"/>
      <c r="D40" s="249"/>
      <c r="E40" s="249"/>
      <c r="F40" s="98" t="e">
        <f>'SO 01 Komunikace a odvodnění'!#REF!</f>
        <v>#REF!</v>
      </c>
      <c r="G40" s="99" t="e">
        <f>'SO 01 Komunikace a odvodnění'!#REF!</f>
        <v>#REF!</v>
      </c>
      <c r="H40" s="100"/>
      <c r="I40" s="101" t="e">
        <f>F40+G40+H40</f>
        <v>#REF!</v>
      </c>
      <c r="J40" s="102" t="e">
        <f>IF(CenaCelkemVypocet=0,"",I40/CenaCelkemVypocet*100)</f>
        <v>#REF!</v>
      </c>
    </row>
    <row r="41" spans="1:10" ht="25.5" hidden="1" customHeight="1" x14ac:dyDescent="0.2">
      <c r="A41" s="86">
        <v>2</v>
      </c>
      <c r="B41" s="103"/>
      <c r="C41" s="250" t="s">
        <v>48</v>
      </c>
      <c r="D41" s="250"/>
      <c r="E41" s="250"/>
      <c r="F41" s="104"/>
      <c r="G41" s="105"/>
      <c r="H41" s="105"/>
      <c r="I41" s="106"/>
      <c r="J41" s="107"/>
    </row>
    <row r="42" spans="1:10" ht="25.5" hidden="1" customHeight="1" x14ac:dyDescent="0.2">
      <c r="A42" s="86">
        <v>2</v>
      </c>
      <c r="B42" s="103" t="s">
        <v>43</v>
      </c>
      <c r="C42" s="250" t="s">
        <v>44</v>
      </c>
      <c r="D42" s="250"/>
      <c r="E42" s="250"/>
      <c r="F42" s="104" t="e">
        <f>'SO 01 Komunikace a odvodnění'!#REF!</f>
        <v>#REF!</v>
      </c>
      <c r="G42" s="105" t="e">
        <f>'SO 01 Komunikace a odvodnění'!#REF!</f>
        <v>#REF!</v>
      </c>
      <c r="H42" s="105"/>
      <c r="I42" s="106" t="e">
        <f>F42+G42+H42</f>
        <v>#REF!</v>
      </c>
      <c r="J42" s="107" t="e">
        <f>IF(CenaCelkemVypocet=0,"",I42/CenaCelkemVypocet*100)</f>
        <v>#REF!</v>
      </c>
    </row>
    <row r="43" spans="1:10" ht="25.5" hidden="1" customHeight="1" x14ac:dyDescent="0.2">
      <c r="A43" s="86">
        <v>3</v>
      </c>
      <c r="B43" s="108" t="s">
        <v>41</v>
      </c>
      <c r="C43" s="249" t="s">
        <v>42</v>
      </c>
      <c r="D43" s="249"/>
      <c r="E43" s="249"/>
      <c r="F43" s="109" t="e">
        <f>'SO 01 Komunikace a odvodnění'!#REF!</f>
        <v>#REF!</v>
      </c>
      <c r="G43" s="100" t="e">
        <f>'SO 01 Komunikace a odvodnění'!#REF!</f>
        <v>#REF!</v>
      </c>
      <c r="H43" s="100"/>
      <c r="I43" s="101" t="e">
        <f>F43+G43+H43</f>
        <v>#REF!</v>
      </c>
      <c r="J43" s="102" t="e">
        <f>IF(CenaCelkemVypocet=0,"",I43/CenaCelkemVypocet*100)</f>
        <v>#REF!</v>
      </c>
    </row>
    <row r="44" spans="1:10" ht="25.5" hidden="1" customHeight="1" x14ac:dyDescent="0.2">
      <c r="A44" s="86"/>
      <c r="B44" s="251" t="s">
        <v>49</v>
      </c>
      <c r="C44" s="252"/>
      <c r="D44" s="252"/>
      <c r="E44" s="252"/>
      <c r="F44" s="110" t="e">
        <f>SUMIF(A40:A43,"=1",F40:F43)</f>
        <v>#REF!</v>
      </c>
      <c r="G44" s="111" t="e">
        <f>SUMIF(A40:A43,"=1",G40:G43)</f>
        <v>#REF!</v>
      </c>
      <c r="H44" s="111">
        <f>SUMIF(A40:A43,"=1",H40:H43)</f>
        <v>0</v>
      </c>
      <c r="I44" s="112" t="e">
        <f>SUMIF(A40:A43,"=1",I40:I43)</f>
        <v>#REF!</v>
      </c>
      <c r="J44" s="113" t="e">
        <f>SUMIF(A40:A43,"=1",J40:J43)</f>
        <v>#REF!</v>
      </c>
    </row>
    <row r="46" spans="1:10" ht="16.5" thickBot="1" x14ac:dyDescent="0.3">
      <c r="B46" s="122" t="s">
        <v>380</v>
      </c>
    </row>
    <row r="47" spans="1:10" ht="19.899999999999999" customHeight="1" thickBot="1" x14ac:dyDescent="0.25">
      <c r="B47" s="233" t="s">
        <v>5</v>
      </c>
      <c r="C47" s="234"/>
      <c r="D47" s="234"/>
      <c r="E47" s="234"/>
      <c r="F47" s="234"/>
      <c r="G47" s="235"/>
      <c r="H47" s="222"/>
      <c r="I47" s="222" t="s">
        <v>28</v>
      </c>
      <c r="J47" s="223" t="s">
        <v>0</v>
      </c>
    </row>
    <row r="48" spans="1:10" ht="19.899999999999999" customHeight="1" x14ac:dyDescent="0.2">
      <c r="B48" s="236" t="s">
        <v>382</v>
      </c>
      <c r="C48" s="237"/>
      <c r="D48" s="237"/>
      <c r="E48" s="237"/>
      <c r="F48" s="237"/>
      <c r="G48" s="238"/>
      <c r="H48" s="227"/>
      <c r="I48" s="228">
        <f>I67</f>
        <v>0</v>
      </c>
      <c r="J48" s="231" t="str">
        <f>IF(I50=0,"",I48/I50*100)</f>
        <v/>
      </c>
    </row>
    <row r="49" spans="2:10" ht="19.899999999999999" customHeight="1" thickBot="1" x14ac:dyDescent="0.25">
      <c r="B49" s="239" t="s">
        <v>383</v>
      </c>
      <c r="C49" s="240"/>
      <c r="D49" s="240"/>
      <c r="E49" s="240"/>
      <c r="F49" s="240"/>
      <c r="G49" s="241"/>
      <c r="H49" s="229"/>
      <c r="I49" s="230">
        <f>I77</f>
        <v>0</v>
      </c>
      <c r="J49" s="231" t="str">
        <f>IF(I50=0,"",I49/I50*100)</f>
        <v/>
      </c>
    </row>
    <row r="50" spans="2:10" ht="19.899999999999999" customHeight="1" thickBot="1" x14ac:dyDescent="0.25">
      <c r="B50" s="242" t="s">
        <v>381</v>
      </c>
      <c r="C50" s="243"/>
      <c r="D50" s="243"/>
      <c r="E50" s="243"/>
      <c r="F50" s="243"/>
      <c r="G50" s="244"/>
      <c r="H50" s="224"/>
      <c r="I50" s="225">
        <f>I48+I49</f>
        <v>0</v>
      </c>
      <c r="J50" s="226" t="e">
        <f>J48+J49</f>
        <v>#VALUE!</v>
      </c>
    </row>
    <row r="55" spans="2:10" ht="15.75" x14ac:dyDescent="0.25">
      <c r="B55" s="122" t="s">
        <v>291</v>
      </c>
    </row>
    <row r="56" spans="2:10" ht="4.5" customHeight="1" x14ac:dyDescent="0.2"/>
    <row r="57" spans="2:10" ht="20.25" customHeight="1" x14ac:dyDescent="0.2">
      <c r="B57" s="124" t="s">
        <v>17</v>
      </c>
      <c r="C57" s="124" t="s">
        <v>5</v>
      </c>
      <c r="D57" s="125"/>
      <c r="E57" s="125"/>
      <c r="F57" s="126" t="s">
        <v>51</v>
      </c>
      <c r="G57" s="126"/>
      <c r="H57" s="126"/>
      <c r="I57" s="126" t="s">
        <v>28</v>
      </c>
      <c r="J57" s="126" t="s">
        <v>0</v>
      </c>
    </row>
    <row r="58" spans="2:10" x14ac:dyDescent="0.2">
      <c r="B58" s="127" t="s">
        <v>52</v>
      </c>
      <c r="C58" s="247" t="s">
        <v>53</v>
      </c>
      <c r="D58" s="248"/>
      <c r="E58" s="248"/>
      <c r="F58" s="135" t="s">
        <v>23</v>
      </c>
      <c r="G58" s="128"/>
      <c r="H58" s="128"/>
      <c r="I58" s="128">
        <f>'SO 01 Komunikace a odvodnění'!G8</f>
        <v>0</v>
      </c>
      <c r="J58" s="133" t="str">
        <f>IF(I67=0,"",I58/I67*100)</f>
        <v/>
      </c>
    </row>
    <row r="59" spans="2:10" x14ac:dyDescent="0.2">
      <c r="B59" s="127" t="s">
        <v>54</v>
      </c>
      <c r="C59" s="247" t="s">
        <v>55</v>
      </c>
      <c r="D59" s="248"/>
      <c r="E59" s="248"/>
      <c r="F59" s="135" t="s">
        <v>23</v>
      </c>
      <c r="G59" s="128"/>
      <c r="H59" s="128"/>
      <c r="I59" s="128">
        <f>'SO 01 Komunikace a odvodnění'!G78</f>
        <v>0</v>
      </c>
      <c r="J59" s="133" t="str">
        <f>IF(I67=0,"",I59/I67*100)</f>
        <v/>
      </c>
    </row>
    <row r="60" spans="2:10" x14ac:dyDescent="0.2">
      <c r="B60" s="211" t="s">
        <v>287</v>
      </c>
      <c r="C60" s="245" t="s">
        <v>288</v>
      </c>
      <c r="D60" s="246"/>
      <c r="E60" s="246"/>
      <c r="F60" s="212" t="s">
        <v>23</v>
      </c>
      <c r="G60" s="181"/>
      <c r="H60" s="181"/>
      <c r="I60" s="181">
        <f>'SO 01 Komunikace a odvodnění'!G107</f>
        <v>0</v>
      </c>
      <c r="J60" s="213" t="str">
        <f>IF(I67=0,"",I60/I67*100)</f>
        <v/>
      </c>
    </row>
    <row r="61" spans="2:10" x14ac:dyDescent="0.2">
      <c r="B61" s="127" t="s">
        <v>56</v>
      </c>
      <c r="C61" s="247" t="s">
        <v>57</v>
      </c>
      <c r="D61" s="248"/>
      <c r="E61" s="248"/>
      <c r="F61" s="135" t="s">
        <v>23</v>
      </c>
      <c r="G61" s="128"/>
      <c r="H61" s="128"/>
      <c r="I61" s="128">
        <f>'SO 01 Komunikace a odvodnění'!G137</f>
        <v>0</v>
      </c>
      <c r="J61" s="133" t="str">
        <f>IF(I67=0,"",I61/I67*100)</f>
        <v/>
      </c>
    </row>
    <row r="62" spans="2:10" ht="22.9" customHeight="1" x14ac:dyDescent="0.2">
      <c r="B62" s="127" t="s">
        <v>179</v>
      </c>
      <c r="C62" s="247" t="s">
        <v>180</v>
      </c>
      <c r="D62" s="248"/>
      <c r="E62" s="248"/>
      <c r="F62" s="135" t="s">
        <v>23</v>
      </c>
      <c r="G62" s="128"/>
      <c r="H62" s="128"/>
      <c r="I62" s="128">
        <f>'SO 01 Komunikace a odvodnění'!G170</f>
        <v>0</v>
      </c>
      <c r="J62" s="133" t="str">
        <f>IF(I67=0,"",I62/I67*100)</f>
        <v/>
      </c>
    </row>
    <row r="63" spans="2:10" x14ac:dyDescent="0.2">
      <c r="B63" s="127" t="s">
        <v>58</v>
      </c>
      <c r="C63" s="247" t="s">
        <v>59</v>
      </c>
      <c r="D63" s="248"/>
      <c r="E63" s="248"/>
      <c r="F63" s="135" t="s">
        <v>23</v>
      </c>
      <c r="G63" s="128"/>
      <c r="H63" s="128"/>
      <c r="I63" s="128">
        <f>'SO 01 Komunikace a odvodnění'!G177</f>
        <v>0</v>
      </c>
      <c r="J63" s="133" t="str">
        <f>IF(I67=0,"",I63/I67*100)</f>
        <v/>
      </c>
    </row>
    <row r="64" spans="2:10" x14ac:dyDescent="0.2">
      <c r="B64" s="127" t="s">
        <v>60</v>
      </c>
      <c r="C64" s="247" t="s">
        <v>61</v>
      </c>
      <c r="D64" s="248"/>
      <c r="E64" s="248"/>
      <c r="F64" s="135" t="s">
        <v>62</v>
      </c>
      <c r="G64" s="128"/>
      <c r="H64" s="128"/>
      <c r="I64" s="128">
        <f>'SO 01 Komunikace a odvodnění'!G184</f>
        <v>0</v>
      </c>
      <c r="J64" s="133" t="str">
        <f>IF(I67=0,"",I64/I67*100)</f>
        <v/>
      </c>
    </row>
    <row r="65" spans="2:10" x14ac:dyDescent="0.2">
      <c r="B65" s="127" t="s">
        <v>63</v>
      </c>
      <c r="C65" s="247" t="s">
        <v>26</v>
      </c>
      <c r="D65" s="248"/>
      <c r="E65" s="248"/>
      <c r="F65" s="135" t="s">
        <v>63</v>
      </c>
      <c r="G65" s="128"/>
      <c r="H65" s="128"/>
      <c r="I65" s="128">
        <f>'SO 01 Komunikace a odvodnění'!G191</f>
        <v>0</v>
      </c>
      <c r="J65" s="133" t="str">
        <f>IF(I67=0,"",I65/I67*100)</f>
        <v/>
      </c>
    </row>
    <row r="66" spans="2:10" x14ac:dyDescent="0.2">
      <c r="B66" s="127" t="s">
        <v>64</v>
      </c>
      <c r="C66" s="247" t="s">
        <v>27</v>
      </c>
      <c r="D66" s="248"/>
      <c r="E66" s="248"/>
      <c r="F66" s="135" t="s">
        <v>64</v>
      </c>
      <c r="G66" s="128"/>
      <c r="H66" s="128"/>
      <c r="I66" s="128">
        <f>'SO 01 Komunikace a odvodnění'!G202</f>
        <v>0</v>
      </c>
      <c r="J66" s="133" t="str">
        <f>IF(I67=0,"",I66/I67*100)</f>
        <v/>
      </c>
    </row>
    <row r="67" spans="2:10" ht="21" customHeight="1" x14ac:dyDescent="0.2">
      <c r="B67" s="129" t="s">
        <v>1</v>
      </c>
      <c r="C67" s="130"/>
      <c r="D67" s="131"/>
      <c r="E67" s="131"/>
      <c r="F67" s="136"/>
      <c r="G67" s="132"/>
      <c r="H67" s="132"/>
      <c r="I67" s="132">
        <f>SUM(I58:I66)</f>
        <v>0</v>
      </c>
      <c r="J67" s="134">
        <f>SUM(J58:J66)</f>
        <v>0</v>
      </c>
    </row>
    <row r="68" spans="2:10" ht="12" customHeight="1" x14ac:dyDescent="0.2">
      <c r="B68" s="214"/>
      <c r="C68" s="215"/>
      <c r="D68" s="215"/>
      <c r="E68" s="215"/>
      <c r="F68" s="216"/>
      <c r="G68" s="217"/>
      <c r="H68" s="217"/>
      <c r="I68" s="217"/>
      <c r="J68" s="218"/>
    </row>
    <row r="69" spans="2:10" ht="17.45" customHeight="1" x14ac:dyDescent="0.25">
      <c r="B69" s="122" t="s">
        <v>379</v>
      </c>
      <c r="C69" s="215"/>
      <c r="D69" s="215"/>
      <c r="E69" s="215"/>
      <c r="F69" s="216"/>
      <c r="G69" s="217"/>
      <c r="H69" s="217"/>
      <c r="I69" s="217"/>
      <c r="J69" s="218"/>
    </row>
    <row r="70" spans="2:10" ht="4.1500000000000004" customHeight="1" x14ac:dyDescent="0.2">
      <c r="B70" s="214"/>
      <c r="C70" s="215"/>
      <c r="D70" s="215"/>
      <c r="E70" s="215"/>
      <c r="F70" s="216"/>
      <c r="G70" s="217"/>
      <c r="H70" s="217"/>
      <c r="I70" s="217"/>
      <c r="J70" s="218"/>
    </row>
    <row r="71" spans="2:10" ht="21" customHeight="1" x14ac:dyDescent="0.2">
      <c r="B71" s="219" t="s">
        <v>17</v>
      </c>
      <c r="C71" s="219" t="s">
        <v>5</v>
      </c>
      <c r="D71" s="220"/>
      <c r="E71" s="220"/>
      <c r="F71" s="221" t="s">
        <v>51</v>
      </c>
      <c r="G71" s="221"/>
      <c r="H71" s="221"/>
      <c r="I71" s="221" t="s">
        <v>28</v>
      </c>
      <c r="J71" s="221" t="s">
        <v>0</v>
      </c>
    </row>
    <row r="72" spans="2:10" ht="13.15" customHeight="1" x14ac:dyDescent="0.2">
      <c r="B72" s="211" t="s">
        <v>52</v>
      </c>
      <c r="C72" s="245" t="s">
        <v>53</v>
      </c>
      <c r="D72" s="246"/>
      <c r="E72" s="246"/>
      <c r="F72" s="212" t="s">
        <v>23</v>
      </c>
      <c r="G72" s="181"/>
      <c r="H72" s="181"/>
      <c r="I72" s="181">
        <f>'SO 04  Veřejné osvětlení'!G8</f>
        <v>0</v>
      </c>
      <c r="J72" s="213" t="str">
        <f>IF(I77=0,"",I72/I77*100)</f>
        <v/>
      </c>
    </row>
    <row r="73" spans="2:10" ht="13.15" customHeight="1" x14ac:dyDescent="0.2">
      <c r="B73" s="211" t="s">
        <v>337</v>
      </c>
      <c r="C73" s="245" t="s">
        <v>338</v>
      </c>
      <c r="D73" s="246"/>
      <c r="E73" s="246"/>
      <c r="F73" s="212" t="s">
        <v>23</v>
      </c>
      <c r="G73" s="181"/>
      <c r="H73" s="181"/>
      <c r="I73" s="181">
        <f>'SO 04  Veřejné osvětlení'!G36</f>
        <v>0</v>
      </c>
      <c r="J73" s="213" t="str">
        <f>IF(I77=0,"",I73/I77*100)</f>
        <v/>
      </c>
    </row>
    <row r="74" spans="2:10" ht="13.15" customHeight="1" x14ac:dyDescent="0.2">
      <c r="B74" s="211" t="s">
        <v>343</v>
      </c>
      <c r="C74" s="245" t="s">
        <v>344</v>
      </c>
      <c r="D74" s="246"/>
      <c r="E74" s="246"/>
      <c r="F74" s="212" t="s">
        <v>23</v>
      </c>
      <c r="G74" s="181"/>
      <c r="H74" s="181"/>
      <c r="I74" s="181">
        <f>'SO 04  Veřejné osvětlení'!G40</f>
        <v>0</v>
      </c>
      <c r="J74" s="213" t="str">
        <f>IF(I77=0,"",I74/I77*100)</f>
        <v/>
      </c>
    </row>
    <row r="75" spans="2:10" ht="13.15" customHeight="1" x14ac:dyDescent="0.2">
      <c r="B75" s="211" t="s">
        <v>378</v>
      </c>
      <c r="C75" s="245" t="s">
        <v>351</v>
      </c>
      <c r="D75" s="246"/>
      <c r="E75" s="246"/>
      <c r="F75" s="212" t="s">
        <v>25</v>
      </c>
      <c r="G75" s="181"/>
      <c r="H75" s="181"/>
      <c r="I75" s="181">
        <f>'SO 04  Veřejné osvětlení'!G46</f>
        <v>0</v>
      </c>
      <c r="J75" s="213" t="str">
        <f>IF(I77=0,"",I75/I77*100)</f>
        <v/>
      </c>
    </row>
    <row r="76" spans="2:10" ht="13.15" customHeight="1" x14ac:dyDescent="0.2">
      <c r="B76" s="211" t="s">
        <v>58</v>
      </c>
      <c r="C76" s="245" t="s">
        <v>59</v>
      </c>
      <c r="D76" s="246"/>
      <c r="E76" s="246"/>
      <c r="F76" s="212" t="s">
        <v>23</v>
      </c>
      <c r="G76" s="181"/>
      <c r="H76" s="181"/>
      <c r="I76" s="181">
        <f>'SO 04  Veřejné osvětlení'!G75</f>
        <v>0</v>
      </c>
      <c r="J76" s="213" t="str">
        <f>IF(I77=0,"",I76/I77*100)</f>
        <v/>
      </c>
    </row>
    <row r="77" spans="2:10" ht="21" customHeight="1" x14ac:dyDescent="0.2">
      <c r="B77" s="129" t="s">
        <v>1</v>
      </c>
      <c r="C77" s="130"/>
      <c r="D77" s="131"/>
      <c r="E77" s="131"/>
      <c r="F77" s="136"/>
      <c r="G77" s="132"/>
      <c r="H77" s="132"/>
      <c r="I77" s="132">
        <f>SUM(I72:I76)</f>
        <v>0</v>
      </c>
      <c r="J77" s="134">
        <f>SUM(J72:J76)</f>
        <v>0</v>
      </c>
    </row>
    <row r="78" spans="2:10" ht="21" customHeight="1" x14ac:dyDescent="0.2">
      <c r="B78" s="214"/>
      <c r="C78" s="215"/>
      <c r="D78" s="215"/>
      <c r="E78" s="215"/>
      <c r="F78" s="216"/>
      <c r="G78" s="217"/>
      <c r="H78" s="217"/>
      <c r="I78" s="217"/>
      <c r="J78" s="218"/>
    </row>
    <row r="79" spans="2:10" ht="21" customHeight="1" x14ac:dyDescent="0.2">
      <c r="B79" s="214"/>
      <c r="C79" s="215"/>
      <c r="D79" s="215"/>
      <c r="E79" s="215"/>
      <c r="F79" s="216"/>
      <c r="G79" s="217"/>
      <c r="H79" s="217"/>
      <c r="I79" s="217"/>
      <c r="J79" s="218"/>
    </row>
    <row r="80" spans="2:10" ht="21" customHeight="1" x14ac:dyDescent="0.2">
      <c r="B80" s="214"/>
      <c r="C80" s="215"/>
      <c r="D80" s="215"/>
      <c r="E80" s="215"/>
      <c r="F80" s="216"/>
      <c r="G80" s="217"/>
      <c r="H80" s="217"/>
      <c r="I80" s="217"/>
      <c r="J80" s="218"/>
    </row>
    <row r="81" spans="2:10" ht="21" customHeight="1" x14ac:dyDescent="0.2">
      <c r="B81" s="214"/>
      <c r="C81" s="215"/>
      <c r="D81" s="215"/>
      <c r="E81" s="215"/>
      <c r="F81" s="216"/>
      <c r="G81" s="217"/>
      <c r="H81" s="217"/>
      <c r="I81" s="217"/>
      <c r="J81" s="218"/>
    </row>
    <row r="83" spans="2:10" x14ac:dyDescent="0.2">
      <c r="F83" s="84"/>
      <c r="G83" s="84"/>
      <c r="H83" s="84"/>
      <c r="I83" s="84"/>
      <c r="J83" s="85"/>
    </row>
    <row r="84" spans="2:10" x14ac:dyDescent="0.2">
      <c r="F84" s="84"/>
      <c r="G84" s="84"/>
      <c r="H84" s="84"/>
      <c r="I84" s="84"/>
      <c r="J84" s="85"/>
    </row>
    <row r="85" spans="2:10" x14ac:dyDescent="0.2">
      <c r="F85" s="84"/>
      <c r="G85" s="84"/>
      <c r="H85" s="84"/>
      <c r="I85" s="84"/>
      <c r="J85" s="85"/>
    </row>
    <row r="86" spans="2:10" x14ac:dyDescent="0.2">
      <c r="F86" s="84"/>
      <c r="G86" s="84"/>
      <c r="H86" s="84"/>
      <c r="I86" s="84"/>
      <c r="J86" s="85"/>
    </row>
    <row r="87" spans="2:10" x14ac:dyDescent="0.2">
      <c r="F87" s="84"/>
      <c r="G87" s="84"/>
      <c r="H87" s="84"/>
      <c r="I87" s="84"/>
      <c r="J87" s="85"/>
    </row>
    <row r="88" spans="2:10" x14ac:dyDescent="0.2">
      <c r="F88" s="84"/>
      <c r="G88" s="84"/>
      <c r="H88" s="84"/>
      <c r="I88" s="84"/>
      <c r="J88" s="85"/>
    </row>
  </sheetData>
  <sheetProtection algorithmName="SHA-512" hashValue="sh7biAxfv3HCQocxDlZrn11hI3/9SRm8ZkpBTwR3mBuaz2C+VGQXAqpRYkmedXjG3pC4xKb5Y41apHKOxm3oCA==" saltValue="JOsQUwLg53nMv75/4DUR4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8:I28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14:D14"/>
    <mergeCell ref="D36:E36"/>
    <mergeCell ref="G24:I24"/>
    <mergeCell ref="G23:I23"/>
    <mergeCell ref="E19:F19"/>
    <mergeCell ref="E20:F20"/>
    <mergeCell ref="I20:J20"/>
    <mergeCell ref="I21:J21"/>
    <mergeCell ref="G19:H19"/>
    <mergeCell ref="G20:H20"/>
    <mergeCell ref="G30:I30"/>
    <mergeCell ref="G25:I25"/>
    <mergeCell ref="I19:J19"/>
    <mergeCell ref="G29:I29"/>
    <mergeCell ref="D35:E35"/>
    <mergeCell ref="G35:I35"/>
    <mergeCell ref="G27:I27"/>
    <mergeCell ref="C40:E40"/>
    <mergeCell ref="C41:E41"/>
    <mergeCell ref="C42:E42"/>
    <mergeCell ref="C43:E43"/>
    <mergeCell ref="B44:E44"/>
    <mergeCell ref="C73:E73"/>
    <mergeCell ref="C74:E74"/>
    <mergeCell ref="C75:E75"/>
    <mergeCell ref="C76:E76"/>
    <mergeCell ref="C65:E65"/>
    <mergeCell ref="C66:E66"/>
    <mergeCell ref="B47:G47"/>
    <mergeCell ref="B48:G48"/>
    <mergeCell ref="B49:G49"/>
    <mergeCell ref="B50:G50"/>
    <mergeCell ref="C72:E72"/>
    <mergeCell ref="C62:E62"/>
    <mergeCell ref="C63:E63"/>
    <mergeCell ref="C64:E64"/>
    <mergeCell ref="C58:E58"/>
    <mergeCell ref="C59:E59"/>
    <mergeCell ref="C60:E60"/>
    <mergeCell ref="C61:E6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96" t="s">
        <v>6</v>
      </c>
      <c r="B1" s="296"/>
      <c r="C1" s="297"/>
      <c r="D1" s="296"/>
      <c r="E1" s="296"/>
      <c r="F1" s="296"/>
      <c r="G1" s="296"/>
    </row>
    <row r="2" spans="1:7" ht="24.95" customHeight="1" x14ac:dyDescent="0.2">
      <c r="A2" s="49" t="s">
        <v>7</v>
      </c>
      <c r="B2" s="48"/>
      <c r="C2" s="298"/>
      <c r="D2" s="298"/>
      <c r="E2" s="298"/>
      <c r="F2" s="298"/>
      <c r="G2" s="299"/>
    </row>
    <row r="3" spans="1:7" ht="24.95" customHeight="1" x14ac:dyDescent="0.2">
      <c r="A3" s="49" t="s">
        <v>8</v>
      </c>
      <c r="B3" s="48"/>
      <c r="C3" s="298"/>
      <c r="D3" s="298"/>
      <c r="E3" s="298"/>
      <c r="F3" s="298"/>
      <c r="G3" s="299"/>
    </row>
    <row r="4" spans="1:7" ht="24.95" customHeight="1" x14ac:dyDescent="0.2">
      <c r="A4" s="49" t="s">
        <v>9</v>
      </c>
      <c r="B4" s="48"/>
      <c r="C4" s="298"/>
      <c r="D4" s="298"/>
      <c r="E4" s="298"/>
      <c r="F4" s="298"/>
      <c r="G4" s="299"/>
    </row>
    <row r="5" spans="1:7" x14ac:dyDescent="0.2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5033"/>
  <sheetViews>
    <sheetView workbookViewId="0">
      <pane ySplit="7" topLeftCell="A112" activePane="bottomLeft" state="frozen"/>
      <selection pane="bottomLeft" activeCell="E9" sqref="E9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2" max="12" width="11.7109375" bestFit="1" customWidth="1"/>
    <col min="13" max="13" width="11.7109375" customWidth="1"/>
    <col min="14" max="17" width="0" hidden="1" customWidth="1"/>
    <col min="18" max="18" width="6.85546875" customWidth="1"/>
    <col min="20" max="20" width="8.42578125" customWidth="1"/>
    <col min="21" max="24" width="0" hidden="1" customWidth="1"/>
    <col min="25" max="25" width="10.140625" bestFit="1" customWidth="1"/>
    <col min="26" max="26" width="11.7109375" bestFit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12" t="s">
        <v>65</v>
      </c>
      <c r="B1" s="313"/>
      <c r="C1" s="313"/>
      <c r="D1" s="313"/>
      <c r="E1" s="313"/>
      <c r="F1" s="313"/>
      <c r="G1" s="313"/>
      <c r="H1" s="170"/>
      <c r="L1" s="174"/>
      <c r="AG1" t="s">
        <v>66</v>
      </c>
    </row>
    <row r="2" spans="1:60" ht="24.95" customHeight="1" x14ac:dyDescent="0.2">
      <c r="A2" s="171" t="s">
        <v>7</v>
      </c>
      <c r="B2" s="179" t="s">
        <v>246</v>
      </c>
      <c r="C2" s="317" t="s">
        <v>247</v>
      </c>
      <c r="D2" s="318"/>
      <c r="E2" s="318"/>
      <c r="F2" s="318"/>
      <c r="G2" s="318"/>
      <c r="H2" s="319"/>
      <c r="L2" s="174"/>
      <c r="AG2" t="s">
        <v>67</v>
      </c>
    </row>
    <row r="3" spans="1:60" ht="24.95" customHeight="1" x14ac:dyDescent="0.2">
      <c r="A3" s="171" t="s">
        <v>8</v>
      </c>
      <c r="B3" s="180" t="s">
        <v>43</v>
      </c>
      <c r="C3" s="314" t="s">
        <v>290</v>
      </c>
      <c r="D3" s="315"/>
      <c r="E3" s="315"/>
      <c r="F3" s="315"/>
      <c r="G3" s="316"/>
      <c r="H3" s="172"/>
      <c r="L3" s="174"/>
      <c r="AC3" s="123" t="s">
        <v>67</v>
      </c>
      <c r="AG3" t="s">
        <v>68</v>
      </c>
    </row>
    <row r="4" spans="1:60" ht="24.95" customHeight="1" x14ac:dyDescent="0.2">
      <c r="A4" s="173" t="s">
        <v>9</v>
      </c>
      <c r="B4" s="164" t="s">
        <v>246</v>
      </c>
      <c r="C4" s="320" t="s">
        <v>248</v>
      </c>
      <c r="D4" s="321"/>
      <c r="E4" s="321"/>
      <c r="F4" s="321"/>
      <c r="G4" s="321"/>
      <c r="H4" s="322"/>
      <c r="L4" s="174"/>
      <c r="AG4" t="s">
        <v>69</v>
      </c>
    </row>
    <row r="5" spans="1:60" x14ac:dyDescent="0.2">
      <c r="D5" s="10"/>
    </row>
    <row r="6" spans="1:60" ht="38.25" x14ac:dyDescent="0.2">
      <c r="A6" s="139" t="s">
        <v>70</v>
      </c>
      <c r="B6" s="141" t="s">
        <v>71</v>
      </c>
      <c r="C6" s="141" t="s">
        <v>72</v>
      </c>
      <c r="D6" s="140" t="s">
        <v>73</v>
      </c>
      <c r="E6" s="139" t="s">
        <v>74</v>
      </c>
      <c r="F6" s="138" t="s">
        <v>75</v>
      </c>
      <c r="G6" s="139" t="s">
        <v>28</v>
      </c>
      <c r="H6" s="142" t="s">
        <v>29</v>
      </c>
      <c r="I6" s="142" t="s">
        <v>76</v>
      </c>
      <c r="J6" s="142" t="s">
        <v>30</v>
      </c>
      <c r="K6" s="142" t="s">
        <v>77</v>
      </c>
      <c r="L6" s="142" t="s">
        <v>78</v>
      </c>
      <c r="M6" s="142" t="s">
        <v>79</v>
      </c>
      <c r="N6" s="142" t="s">
        <v>80</v>
      </c>
      <c r="O6" s="142" t="s">
        <v>81</v>
      </c>
      <c r="P6" s="142" t="s">
        <v>82</v>
      </c>
      <c r="Q6" s="142" t="s">
        <v>83</v>
      </c>
      <c r="R6" s="142" t="s">
        <v>84</v>
      </c>
      <c r="S6" s="142" t="s">
        <v>85</v>
      </c>
      <c r="T6" s="142" t="s">
        <v>86</v>
      </c>
      <c r="U6" s="142" t="s">
        <v>87</v>
      </c>
      <c r="V6" s="142" t="s">
        <v>88</v>
      </c>
      <c r="W6" s="142" t="s">
        <v>89</v>
      </c>
      <c r="X6" s="142" t="s">
        <v>90</v>
      </c>
    </row>
    <row r="7" spans="1:60" hidden="1" x14ac:dyDescent="0.2">
      <c r="A7" s="3"/>
      <c r="B7" s="4"/>
      <c r="C7" s="4"/>
      <c r="D7" s="6"/>
      <c r="E7" s="144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8" spans="1:60" x14ac:dyDescent="0.2">
      <c r="A8" s="148" t="s">
        <v>91</v>
      </c>
      <c r="B8" s="149" t="s">
        <v>52</v>
      </c>
      <c r="C8" s="156" t="s">
        <v>53</v>
      </c>
      <c r="D8" s="150"/>
      <c r="E8" s="151"/>
      <c r="F8" s="152"/>
      <c r="G8" s="152">
        <f>SUMIF(AG9:AG77,"&lt;&gt;NOR",G9:G77)</f>
        <v>0</v>
      </c>
      <c r="H8" s="152"/>
      <c r="I8" s="152">
        <f>SUM(I9:I77)</f>
        <v>10938.44</v>
      </c>
      <c r="J8" s="152"/>
      <c r="K8" s="152">
        <f>SUM(K9:K77)</f>
        <v>884050.59000000008</v>
      </c>
      <c r="L8" s="152"/>
      <c r="M8" s="152">
        <f>SUM(M9:M77)</f>
        <v>0</v>
      </c>
      <c r="N8" s="152"/>
      <c r="O8" s="152">
        <f>SUM(O9:O77)</f>
        <v>32.1</v>
      </c>
      <c r="P8" s="152"/>
      <c r="Q8" s="152">
        <f>SUM(Q9:Q77)</f>
        <v>377.28999999999996</v>
      </c>
      <c r="R8" s="152"/>
      <c r="S8" s="152"/>
      <c r="T8" s="153"/>
      <c r="U8" s="147"/>
      <c r="V8" s="147">
        <f>SUM(V9:V80)</f>
        <v>757.97</v>
      </c>
      <c r="W8" s="147"/>
      <c r="X8" s="147"/>
      <c r="Z8" s="84"/>
      <c r="AG8" t="s">
        <v>92</v>
      </c>
    </row>
    <row r="9" spans="1:60" ht="22.5" outlineLevel="1" x14ac:dyDescent="0.2">
      <c r="A9" s="182">
        <v>1</v>
      </c>
      <c r="B9" s="191" t="s">
        <v>254</v>
      </c>
      <c r="C9" s="192" t="s">
        <v>253</v>
      </c>
      <c r="D9" s="183" t="s">
        <v>98</v>
      </c>
      <c r="E9" s="175">
        <f>50+31.2</f>
        <v>81.2</v>
      </c>
      <c r="F9" s="194"/>
      <c r="G9" s="184">
        <f>ROUND(E9*F9,2)</f>
        <v>0</v>
      </c>
      <c r="H9" s="194">
        <v>0</v>
      </c>
      <c r="I9" s="184">
        <f>ROUND(E9*H9,2)</f>
        <v>0</v>
      </c>
      <c r="J9" s="194">
        <v>61.8</v>
      </c>
      <c r="K9" s="184">
        <f>ROUND(E9*J9,2)</f>
        <v>5018.16</v>
      </c>
      <c r="L9" s="184">
        <v>21</v>
      </c>
      <c r="M9" s="184">
        <f>G9*(1+L9/100)</f>
        <v>0</v>
      </c>
      <c r="N9" s="184">
        <v>0</v>
      </c>
      <c r="O9" s="184">
        <f>ROUND(E9*N9,2)</f>
        <v>0</v>
      </c>
      <c r="P9" s="184">
        <v>0.13800000000000001</v>
      </c>
      <c r="Q9" s="184">
        <f>ROUND(E9*P9,2)</f>
        <v>11.21</v>
      </c>
      <c r="R9" s="184" t="s">
        <v>109</v>
      </c>
      <c r="S9" s="184" t="s">
        <v>324</v>
      </c>
      <c r="T9" s="184" t="s">
        <v>324</v>
      </c>
      <c r="U9" s="146"/>
      <c r="V9" s="146"/>
      <c r="W9" s="146"/>
      <c r="X9" s="146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</row>
    <row r="10" spans="1:60" ht="13.15" customHeight="1" outlineLevel="1" x14ac:dyDescent="0.2">
      <c r="A10" s="193"/>
      <c r="B10" s="190"/>
      <c r="C10" s="300" t="s">
        <v>208</v>
      </c>
      <c r="D10" s="301"/>
      <c r="E10" s="301"/>
      <c r="F10" s="301"/>
      <c r="G10" s="301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</row>
    <row r="11" spans="1:60" outlineLevel="1" x14ac:dyDescent="0.2">
      <c r="A11" s="193"/>
      <c r="B11" s="190"/>
      <c r="C11" s="195"/>
      <c r="D11" s="196"/>
      <c r="E11" s="196"/>
      <c r="F11" s="196"/>
      <c r="G11" s="19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</row>
    <row r="12" spans="1:60" ht="22.5" outlineLevel="1" x14ac:dyDescent="0.2">
      <c r="A12" s="182">
        <v>2</v>
      </c>
      <c r="B12" s="191" t="s">
        <v>255</v>
      </c>
      <c r="C12" s="192" t="s">
        <v>251</v>
      </c>
      <c r="D12" s="183" t="s">
        <v>98</v>
      </c>
      <c r="E12" s="175">
        <v>550</v>
      </c>
      <c r="F12" s="194"/>
      <c r="G12" s="184">
        <f>ROUND(E12*F12,2)</f>
        <v>0</v>
      </c>
      <c r="H12" s="194">
        <v>0</v>
      </c>
      <c r="I12" s="184">
        <f>ROUND(E12*H12,2)</f>
        <v>0</v>
      </c>
      <c r="J12" s="194">
        <v>61.8</v>
      </c>
      <c r="K12" s="184">
        <f>ROUND(E12*J12,2)</f>
        <v>33990</v>
      </c>
      <c r="L12" s="184">
        <v>21</v>
      </c>
      <c r="M12" s="184">
        <f>G12*(1+L12/100)</f>
        <v>0</v>
      </c>
      <c r="N12" s="184">
        <v>0</v>
      </c>
      <c r="O12" s="184">
        <f>ROUND(E12*N12,2)</f>
        <v>0</v>
      </c>
      <c r="P12" s="184">
        <v>0.13800000000000001</v>
      </c>
      <c r="Q12" s="184">
        <f>ROUND(E12*P12,2)</f>
        <v>75.900000000000006</v>
      </c>
      <c r="R12" s="184" t="s">
        <v>109</v>
      </c>
      <c r="S12" s="184" t="s">
        <v>324</v>
      </c>
      <c r="T12" s="184" t="s">
        <v>101</v>
      </c>
      <c r="U12" s="146"/>
      <c r="V12" s="146"/>
      <c r="W12" s="146"/>
      <c r="X12" s="146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</row>
    <row r="13" spans="1:60" outlineLevel="1" x14ac:dyDescent="0.2">
      <c r="A13" s="193"/>
      <c r="B13" s="190"/>
      <c r="C13" s="300" t="s">
        <v>252</v>
      </c>
      <c r="D13" s="301"/>
      <c r="E13" s="301"/>
      <c r="F13" s="301"/>
      <c r="G13" s="301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</row>
    <row r="14" spans="1:60" outlineLevel="1" x14ac:dyDescent="0.2">
      <c r="A14" s="193"/>
      <c r="B14" s="190"/>
      <c r="C14" s="195"/>
      <c r="D14" s="196"/>
      <c r="E14" s="196"/>
      <c r="F14" s="196"/>
      <c r="G14" s="19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</row>
    <row r="15" spans="1:60" ht="13.15" customHeight="1" outlineLevel="1" x14ac:dyDescent="0.2">
      <c r="A15" s="182">
        <v>3</v>
      </c>
      <c r="B15" s="191" t="s">
        <v>222</v>
      </c>
      <c r="C15" s="192" t="s">
        <v>198</v>
      </c>
      <c r="D15" s="183" t="s">
        <v>115</v>
      </c>
      <c r="E15" s="175">
        <f>400*0.2+550*0.1+450*0.2+50*0.1</f>
        <v>230</v>
      </c>
      <c r="F15" s="194"/>
      <c r="G15" s="184">
        <f>ROUND(E15*F15,2)</f>
        <v>0</v>
      </c>
      <c r="H15" s="194">
        <v>0</v>
      </c>
      <c r="I15" s="184">
        <f>ROUND(E15*H15,2)</f>
        <v>0</v>
      </c>
      <c r="J15" s="194">
        <v>351</v>
      </c>
      <c r="K15" s="184">
        <f>ROUND(E15*J15,2)</f>
        <v>80730</v>
      </c>
      <c r="L15" s="184">
        <v>21</v>
      </c>
      <c r="M15" s="184">
        <f>G15*(1+L15/100)</f>
        <v>0</v>
      </c>
      <c r="N15" s="184">
        <v>0</v>
      </c>
      <c r="O15" s="184">
        <f>ROUND(E15*N15,2)</f>
        <v>0</v>
      </c>
      <c r="P15" s="184">
        <v>0.44</v>
      </c>
      <c r="Q15" s="184">
        <f>ROUND(E15*P15,2)</f>
        <v>101.2</v>
      </c>
      <c r="R15" s="184" t="s">
        <v>109</v>
      </c>
      <c r="S15" s="184" t="s">
        <v>324</v>
      </c>
      <c r="T15" s="184" t="s">
        <v>324</v>
      </c>
      <c r="U15" s="146">
        <v>3.3000000000000002E-2</v>
      </c>
      <c r="V15" s="146">
        <f>ROUND(E15*U15,2)</f>
        <v>7.59</v>
      </c>
      <c r="W15" s="146"/>
      <c r="X15" s="146" t="s">
        <v>110</v>
      </c>
      <c r="Y15" s="143"/>
      <c r="Z15" s="143"/>
      <c r="AA15" s="143"/>
      <c r="AB15" s="143"/>
      <c r="AC15" s="143"/>
      <c r="AD15" s="143"/>
      <c r="AE15" s="143"/>
      <c r="AF15" s="143"/>
      <c r="AG15" s="143" t="s">
        <v>111</v>
      </c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</row>
    <row r="16" spans="1:60" ht="13.15" customHeight="1" outlineLevel="1" x14ac:dyDescent="0.2">
      <c r="A16" s="193"/>
      <c r="B16" s="190"/>
      <c r="C16" s="300" t="s">
        <v>221</v>
      </c>
      <c r="D16" s="301"/>
      <c r="E16" s="301"/>
      <c r="F16" s="301"/>
      <c r="G16" s="301"/>
      <c r="H16" s="165"/>
      <c r="I16" s="146"/>
      <c r="J16" s="165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</row>
    <row r="17" spans="1:60" outlineLevel="1" x14ac:dyDescent="0.2">
      <c r="A17" s="193"/>
      <c r="B17" s="190"/>
      <c r="C17" s="305"/>
      <c r="D17" s="306"/>
      <c r="E17" s="306"/>
      <c r="F17" s="306"/>
      <c r="G17" s="30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3"/>
      <c r="Z17" s="143"/>
      <c r="AA17" s="143"/>
      <c r="AB17" s="143"/>
      <c r="AC17" s="143"/>
      <c r="AD17" s="143"/>
      <c r="AE17" s="143"/>
      <c r="AF17" s="143"/>
      <c r="AG17" s="143" t="s">
        <v>93</v>
      </c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</row>
    <row r="18" spans="1:60" ht="22.5" outlineLevel="1" x14ac:dyDescent="0.2">
      <c r="A18" s="182">
        <v>4</v>
      </c>
      <c r="B18" s="191" t="s">
        <v>223</v>
      </c>
      <c r="C18" s="192" t="s">
        <v>224</v>
      </c>
      <c r="D18" s="183" t="s">
        <v>98</v>
      </c>
      <c r="E18" s="175">
        <f>1000+400</f>
        <v>1400</v>
      </c>
      <c r="F18" s="194"/>
      <c r="G18" s="184">
        <f>ROUND(E18*F18,2)</f>
        <v>0</v>
      </c>
      <c r="H18" s="194">
        <v>0</v>
      </c>
      <c r="I18" s="184">
        <f>ROUND(E18*H18,2)</f>
        <v>0</v>
      </c>
      <c r="J18" s="194">
        <v>111</v>
      </c>
      <c r="K18" s="184">
        <f>ROUND(E18*J18,2)</f>
        <v>155400</v>
      </c>
      <c r="L18" s="184">
        <v>21</v>
      </c>
      <c r="M18" s="184">
        <f>G18*(1+L18/100)</f>
        <v>0</v>
      </c>
      <c r="N18" s="184">
        <v>0</v>
      </c>
      <c r="O18" s="184">
        <f>ROUND(E18*N18,2)</f>
        <v>0</v>
      </c>
      <c r="P18" s="184">
        <v>0.11</v>
      </c>
      <c r="Q18" s="184">
        <f>ROUND(E18*P18,2)</f>
        <v>154</v>
      </c>
      <c r="R18" s="184" t="s">
        <v>109</v>
      </c>
      <c r="S18" s="184" t="s">
        <v>324</v>
      </c>
      <c r="T18" s="184" t="s">
        <v>324</v>
      </c>
      <c r="U18" s="146">
        <v>0.2</v>
      </c>
      <c r="V18" s="146">
        <f>ROUND(E18*U18,2)</f>
        <v>280</v>
      </c>
      <c r="W18" s="146"/>
      <c r="X18" s="146" t="s">
        <v>110</v>
      </c>
      <c r="Y18" s="143"/>
      <c r="Z18" s="143"/>
      <c r="AA18" s="143"/>
      <c r="AB18" s="143"/>
      <c r="AC18" s="143"/>
      <c r="AD18" s="143"/>
      <c r="AE18" s="143"/>
      <c r="AF18" s="143"/>
      <c r="AG18" s="143" t="s">
        <v>111</v>
      </c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</row>
    <row r="19" spans="1:60" ht="13.15" customHeight="1" outlineLevel="1" x14ac:dyDescent="0.2">
      <c r="A19" s="193"/>
      <c r="B19" s="190"/>
      <c r="C19" s="300" t="s">
        <v>221</v>
      </c>
      <c r="D19" s="301"/>
      <c r="E19" s="301"/>
      <c r="F19" s="301"/>
      <c r="G19" s="301"/>
      <c r="H19" s="165"/>
      <c r="I19" s="146"/>
      <c r="J19" s="165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</row>
    <row r="20" spans="1:60" outlineLevel="1" x14ac:dyDescent="0.2">
      <c r="A20" s="193"/>
      <c r="B20" s="190"/>
      <c r="C20" s="305"/>
      <c r="D20" s="306"/>
      <c r="E20" s="306"/>
      <c r="F20" s="306"/>
      <c r="G20" s="30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3"/>
      <c r="Z20" s="143"/>
      <c r="AA20" s="143"/>
      <c r="AB20" s="143"/>
      <c r="AC20" s="143"/>
      <c r="AD20" s="143"/>
      <c r="AE20" s="143"/>
      <c r="AF20" s="143"/>
      <c r="AG20" s="143" t="s">
        <v>93</v>
      </c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</row>
    <row r="21" spans="1:60" outlineLevel="1" x14ac:dyDescent="0.2">
      <c r="A21" s="182">
        <v>5</v>
      </c>
      <c r="B21" s="191" t="s">
        <v>261</v>
      </c>
      <c r="C21" s="192" t="s">
        <v>259</v>
      </c>
      <c r="D21" s="183" t="s">
        <v>98</v>
      </c>
      <c r="E21" s="175">
        <v>40</v>
      </c>
      <c r="F21" s="194"/>
      <c r="G21" s="184">
        <f>ROUND(E21*F21,2)</f>
        <v>0</v>
      </c>
      <c r="H21" s="194">
        <v>0</v>
      </c>
      <c r="I21" s="184">
        <f>ROUND(E21*H21,2)</f>
        <v>0</v>
      </c>
      <c r="J21" s="194">
        <v>111</v>
      </c>
      <c r="K21" s="184">
        <f>ROUND(E21*J21,2)</f>
        <v>4440</v>
      </c>
      <c r="L21" s="184">
        <v>21</v>
      </c>
      <c r="M21" s="184">
        <f>G21*(1+L21/100)</f>
        <v>0</v>
      </c>
      <c r="N21" s="184">
        <v>0</v>
      </c>
      <c r="O21" s="184">
        <f>ROUND(E21*N21,2)</f>
        <v>0</v>
      </c>
      <c r="P21" s="184">
        <v>0.11</v>
      </c>
      <c r="Q21" s="184">
        <f>ROUND(E21*P21,2)</f>
        <v>4.4000000000000004</v>
      </c>
      <c r="R21" s="184" t="s">
        <v>109</v>
      </c>
      <c r="S21" s="184" t="s">
        <v>324</v>
      </c>
      <c r="T21" s="184" t="s">
        <v>324</v>
      </c>
      <c r="U21" s="146"/>
      <c r="V21" s="146"/>
      <c r="W21" s="146"/>
      <c r="X21" s="146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</row>
    <row r="22" spans="1:60" ht="13.15" customHeight="1" outlineLevel="1" x14ac:dyDescent="0.2">
      <c r="A22" s="193"/>
      <c r="B22" s="190"/>
      <c r="C22" s="300" t="s">
        <v>260</v>
      </c>
      <c r="D22" s="301"/>
      <c r="E22" s="301"/>
      <c r="F22" s="301"/>
      <c r="G22" s="301"/>
      <c r="H22" s="165"/>
      <c r="I22" s="146"/>
      <c r="J22" s="165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</row>
    <row r="23" spans="1:60" outlineLevel="1" x14ac:dyDescent="0.2">
      <c r="A23" s="193"/>
      <c r="B23" s="190"/>
      <c r="C23" s="195"/>
      <c r="D23" s="196"/>
      <c r="E23" s="196"/>
      <c r="F23" s="196"/>
      <c r="G23" s="19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</row>
    <row r="24" spans="1:60" outlineLevel="1" x14ac:dyDescent="0.2">
      <c r="A24" s="182">
        <v>5</v>
      </c>
      <c r="B24" s="191" t="s">
        <v>225</v>
      </c>
      <c r="C24" s="192" t="s">
        <v>227</v>
      </c>
      <c r="D24" s="183" t="s">
        <v>113</v>
      </c>
      <c r="E24" s="175">
        <v>22</v>
      </c>
      <c r="F24" s="194"/>
      <c r="G24" s="184">
        <f>ROUND(E24*F24,2)</f>
        <v>0</v>
      </c>
      <c r="H24" s="194">
        <v>0</v>
      </c>
      <c r="I24" s="184">
        <f>ROUND(E24*H24,2)</f>
        <v>0</v>
      </c>
      <c r="J24" s="194">
        <v>115</v>
      </c>
      <c r="K24" s="184">
        <f>ROUND(E24*J24,2)</f>
        <v>2530</v>
      </c>
      <c r="L24" s="184">
        <v>21</v>
      </c>
      <c r="M24" s="184">
        <f>G24*(1+L24/100)</f>
        <v>0</v>
      </c>
      <c r="N24" s="184">
        <v>0</v>
      </c>
      <c r="O24" s="184">
        <f>ROUND(E24*N24,2)</f>
        <v>0</v>
      </c>
      <c r="P24" s="184">
        <v>0.22</v>
      </c>
      <c r="Q24" s="184">
        <f>ROUND(E24*P24,2)</f>
        <v>4.84</v>
      </c>
      <c r="R24" s="184" t="s">
        <v>109</v>
      </c>
      <c r="S24" s="184" t="s">
        <v>324</v>
      </c>
      <c r="T24" s="184" t="s">
        <v>324</v>
      </c>
      <c r="U24" s="146"/>
      <c r="V24" s="146"/>
      <c r="W24" s="146"/>
      <c r="X24" s="146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</row>
    <row r="25" spans="1:60" ht="13.15" customHeight="1" outlineLevel="1" x14ac:dyDescent="0.2">
      <c r="A25" s="193"/>
      <c r="B25" s="190"/>
      <c r="C25" s="300" t="s">
        <v>192</v>
      </c>
      <c r="D25" s="301"/>
      <c r="E25" s="301"/>
      <c r="F25" s="301"/>
      <c r="G25" s="301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</row>
    <row r="26" spans="1:60" outlineLevel="1" x14ac:dyDescent="0.2">
      <c r="A26" s="193"/>
      <c r="B26" s="190"/>
      <c r="C26" s="195"/>
      <c r="D26" s="196"/>
      <c r="E26" s="196"/>
      <c r="F26" s="196"/>
      <c r="G26" s="19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</row>
    <row r="27" spans="1:60" outlineLevel="1" x14ac:dyDescent="0.2">
      <c r="A27" s="182">
        <v>6</v>
      </c>
      <c r="B27" s="191" t="s">
        <v>226</v>
      </c>
      <c r="C27" s="192" t="s">
        <v>148</v>
      </c>
      <c r="D27" s="183" t="s">
        <v>113</v>
      </c>
      <c r="E27" s="175">
        <v>117</v>
      </c>
      <c r="F27" s="194"/>
      <c r="G27" s="184">
        <f>ROUND(E27*F27,2)</f>
        <v>0</v>
      </c>
      <c r="H27" s="194">
        <v>0</v>
      </c>
      <c r="I27" s="184">
        <f>ROUND(E27*H27,2)</f>
        <v>0</v>
      </c>
      <c r="J27" s="194">
        <v>115</v>
      </c>
      <c r="K27" s="184">
        <f>ROUND(E27*J27,2)</f>
        <v>13455</v>
      </c>
      <c r="L27" s="184">
        <v>21</v>
      </c>
      <c r="M27" s="184">
        <f>G27*(1+L27/100)</f>
        <v>0</v>
      </c>
      <c r="N27" s="184">
        <v>0</v>
      </c>
      <c r="O27" s="184">
        <f>ROUND(E27*N27,2)</f>
        <v>0</v>
      </c>
      <c r="P27" s="184">
        <v>0.22</v>
      </c>
      <c r="Q27" s="184">
        <f>ROUND(E27*P27,2)</f>
        <v>25.74</v>
      </c>
      <c r="R27" s="184" t="s">
        <v>109</v>
      </c>
      <c r="S27" s="184" t="s">
        <v>324</v>
      </c>
      <c r="T27" s="184" t="s">
        <v>324</v>
      </c>
      <c r="U27" s="146"/>
      <c r="V27" s="146"/>
      <c r="W27" s="146"/>
      <c r="X27" s="146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</row>
    <row r="28" spans="1:60" ht="12.75" customHeight="1" outlineLevel="1" x14ac:dyDescent="0.2">
      <c r="A28" s="193"/>
      <c r="B28" s="190"/>
      <c r="C28" s="300" t="s">
        <v>192</v>
      </c>
      <c r="D28" s="301"/>
      <c r="E28" s="301"/>
      <c r="F28" s="301"/>
      <c r="G28" s="301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</row>
    <row r="29" spans="1:60" outlineLevel="1" x14ac:dyDescent="0.2">
      <c r="A29" s="193"/>
      <c r="B29" s="190"/>
      <c r="C29" s="195"/>
      <c r="D29" s="196"/>
      <c r="E29" s="196"/>
      <c r="F29" s="196"/>
      <c r="G29" s="19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</row>
    <row r="30" spans="1:60" outlineLevel="1" x14ac:dyDescent="0.2">
      <c r="A30" s="182">
        <v>7</v>
      </c>
      <c r="B30" s="191" t="s">
        <v>280</v>
      </c>
      <c r="C30" s="192" t="s">
        <v>319</v>
      </c>
      <c r="D30" s="183" t="s">
        <v>115</v>
      </c>
      <c r="E30" s="175">
        <f>79*0.6*1.5+110</f>
        <v>181.1</v>
      </c>
      <c r="F30" s="194"/>
      <c r="G30" s="184">
        <f>ROUND(E30*F30,2)</f>
        <v>0</v>
      </c>
      <c r="H30" s="194">
        <v>0</v>
      </c>
      <c r="I30" s="184">
        <f>ROUND(E30*H30,2)</f>
        <v>0</v>
      </c>
      <c r="J30" s="194">
        <v>215</v>
      </c>
      <c r="K30" s="184">
        <f>ROUND(E30*J30,2)</f>
        <v>38936.5</v>
      </c>
      <c r="L30" s="184">
        <v>21</v>
      </c>
      <c r="M30" s="184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4" t="s">
        <v>114</v>
      </c>
      <c r="S30" s="184" t="s">
        <v>324</v>
      </c>
      <c r="T30" s="184" t="s">
        <v>324</v>
      </c>
      <c r="U30" s="146"/>
      <c r="V30" s="146"/>
      <c r="W30" s="146"/>
      <c r="X30" s="146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</row>
    <row r="31" spans="1:60" ht="23.45" customHeight="1" outlineLevel="1" x14ac:dyDescent="0.2">
      <c r="A31" s="193"/>
      <c r="B31" s="190"/>
      <c r="C31" s="300" t="s">
        <v>272</v>
      </c>
      <c r="D31" s="301"/>
      <c r="E31" s="301"/>
      <c r="F31" s="301"/>
      <c r="G31" s="301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</row>
    <row r="32" spans="1:60" outlineLevel="1" x14ac:dyDescent="0.2">
      <c r="A32" s="193"/>
      <c r="B32" s="190"/>
      <c r="C32" s="305"/>
      <c r="D32" s="306"/>
      <c r="E32" s="306"/>
      <c r="F32" s="306"/>
      <c r="G32" s="30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</row>
    <row r="33" spans="1:60" outlineLevel="1" x14ac:dyDescent="0.2">
      <c r="A33" s="182">
        <v>8</v>
      </c>
      <c r="B33" s="191" t="s">
        <v>281</v>
      </c>
      <c r="C33" s="192" t="s">
        <v>273</v>
      </c>
      <c r="D33" s="183" t="s">
        <v>115</v>
      </c>
      <c r="E33" s="175">
        <f>E30*0.75</f>
        <v>135.82499999999999</v>
      </c>
      <c r="F33" s="194"/>
      <c r="G33" s="184">
        <f>ROUND(E33*F33,2)</f>
        <v>0</v>
      </c>
      <c r="H33" s="194">
        <v>0</v>
      </c>
      <c r="I33" s="184">
        <f>ROUND(E33*H33,2)</f>
        <v>0</v>
      </c>
      <c r="J33" s="194">
        <v>37</v>
      </c>
      <c r="K33" s="184">
        <f>ROUND(E33*J33,2)</f>
        <v>5025.53</v>
      </c>
      <c r="L33" s="184">
        <v>21</v>
      </c>
      <c r="M33" s="184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4" t="s">
        <v>114</v>
      </c>
      <c r="S33" s="184" t="s">
        <v>324</v>
      </c>
      <c r="T33" s="184" t="s">
        <v>324</v>
      </c>
      <c r="U33" s="146"/>
      <c r="V33" s="146"/>
      <c r="W33" s="146"/>
      <c r="X33" s="146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</row>
    <row r="34" spans="1:60" ht="22.9" customHeight="1" outlineLevel="1" x14ac:dyDescent="0.2">
      <c r="A34" s="193"/>
      <c r="B34" s="190"/>
      <c r="C34" s="300" t="s">
        <v>272</v>
      </c>
      <c r="D34" s="301"/>
      <c r="E34" s="301"/>
      <c r="F34" s="301"/>
      <c r="G34" s="301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</row>
    <row r="35" spans="1:60" outlineLevel="1" x14ac:dyDescent="0.2">
      <c r="A35" s="193"/>
      <c r="B35" s="190"/>
      <c r="C35" s="195"/>
      <c r="D35" s="196"/>
      <c r="E35" s="196"/>
      <c r="F35" s="196"/>
      <c r="G35" s="19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</row>
    <row r="36" spans="1:60" ht="22.5" outlineLevel="1" x14ac:dyDescent="0.2">
      <c r="A36" s="182">
        <v>9</v>
      </c>
      <c r="B36" s="191" t="s">
        <v>278</v>
      </c>
      <c r="C36" s="192" t="s">
        <v>274</v>
      </c>
      <c r="D36" s="183" t="s">
        <v>98</v>
      </c>
      <c r="E36" s="175">
        <f>4*8</f>
        <v>32</v>
      </c>
      <c r="F36" s="194"/>
      <c r="G36" s="184">
        <f>ROUND(E36*F36,2)</f>
        <v>0</v>
      </c>
      <c r="H36" s="194">
        <v>11.31</v>
      </c>
      <c r="I36" s="184">
        <f>ROUND(E36*H36,2)</f>
        <v>361.92</v>
      </c>
      <c r="J36" s="194">
        <v>117.69</v>
      </c>
      <c r="K36" s="184">
        <f>ROUND(E36*J36,2)</f>
        <v>3766.08</v>
      </c>
      <c r="L36" s="184">
        <v>21</v>
      </c>
      <c r="M36" s="184">
        <f>G36*(1+L36/100)</f>
        <v>0</v>
      </c>
      <c r="N36" s="184">
        <v>9.8999999999999999E-4</v>
      </c>
      <c r="O36" s="184">
        <f>ROUND(E36*N36,2)</f>
        <v>0.03</v>
      </c>
      <c r="P36" s="184">
        <v>0</v>
      </c>
      <c r="Q36" s="184">
        <f>ROUND(E36*P36,2)</f>
        <v>0</v>
      </c>
      <c r="R36" s="184" t="s">
        <v>114</v>
      </c>
      <c r="S36" s="184" t="s">
        <v>324</v>
      </c>
      <c r="T36" s="184" t="s">
        <v>324</v>
      </c>
      <c r="U36" s="146"/>
      <c r="V36" s="146"/>
      <c r="W36" s="146"/>
      <c r="X36" s="146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</row>
    <row r="37" spans="1:60" outlineLevel="1" x14ac:dyDescent="0.2">
      <c r="A37" s="193"/>
      <c r="B37" s="190"/>
      <c r="C37" s="300" t="s">
        <v>275</v>
      </c>
      <c r="D37" s="301"/>
      <c r="E37" s="301"/>
      <c r="F37" s="301"/>
      <c r="G37" s="301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</row>
    <row r="38" spans="1:60" outlineLevel="1" x14ac:dyDescent="0.2">
      <c r="A38" s="193"/>
      <c r="B38" s="190"/>
      <c r="C38" s="305"/>
      <c r="D38" s="306"/>
      <c r="E38" s="306"/>
      <c r="F38" s="306"/>
      <c r="G38" s="30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</row>
    <row r="39" spans="1:60" outlineLevel="1" x14ac:dyDescent="0.2">
      <c r="A39" s="182">
        <v>10</v>
      </c>
      <c r="B39" s="191" t="s">
        <v>279</v>
      </c>
      <c r="C39" s="192" t="s">
        <v>276</v>
      </c>
      <c r="D39" s="183" t="s">
        <v>98</v>
      </c>
      <c r="E39" s="175">
        <f>E36</f>
        <v>32</v>
      </c>
      <c r="F39" s="194"/>
      <c r="G39" s="184">
        <f>ROUND(E39*F39,2)</f>
        <v>0</v>
      </c>
      <c r="H39" s="194">
        <v>0</v>
      </c>
      <c r="I39" s="184">
        <f>ROUND(E39*H39,2)</f>
        <v>0</v>
      </c>
      <c r="J39" s="194">
        <v>27.9</v>
      </c>
      <c r="K39" s="184">
        <f>ROUND(E39*J39,2)</f>
        <v>892.8</v>
      </c>
      <c r="L39" s="184">
        <v>21</v>
      </c>
      <c r="M39" s="184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4" t="s">
        <v>114</v>
      </c>
      <c r="S39" s="184" t="s">
        <v>324</v>
      </c>
      <c r="T39" s="184" t="s">
        <v>324</v>
      </c>
      <c r="U39" s="146"/>
      <c r="V39" s="146"/>
      <c r="W39" s="146"/>
      <c r="X39" s="146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</row>
    <row r="40" spans="1:60" outlineLevel="1" x14ac:dyDescent="0.2">
      <c r="A40" s="193"/>
      <c r="B40" s="190"/>
      <c r="C40" s="300" t="s">
        <v>277</v>
      </c>
      <c r="D40" s="301"/>
      <c r="E40" s="301"/>
      <c r="F40" s="301"/>
      <c r="G40" s="301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</row>
    <row r="41" spans="1:60" outlineLevel="1" x14ac:dyDescent="0.2">
      <c r="A41" s="193"/>
      <c r="B41" s="190"/>
      <c r="C41" s="195"/>
      <c r="D41" s="196"/>
      <c r="E41" s="196"/>
      <c r="F41" s="196"/>
      <c r="G41" s="19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</row>
    <row r="42" spans="1:60" outlineLevel="1" x14ac:dyDescent="0.2">
      <c r="A42" s="182">
        <v>11</v>
      </c>
      <c r="B42" s="191" t="s">
        <v>171</v>
      </c>
      <c r="C42" s="192" t="s">
        <v>172</v>
      </c>
      <c r="D42" s="183" t="s">
        <v>115</v>
      </c>
      <c r="E42" s="175">
        <v>16.850000000000001</v>
      </c>
      <c r="F42" s="194"/>
      <c r="G42" s="184">
        <f>ROUND(E42*F42,2)</f>
        <v>0</v>
      </c>
      <c r="H42" s="194">
        <v>0</v>
      </c>
      <c r="I42" s="184">
        <f>ROUND(E42*H42,2)</f>
        <v>0</v>
      </c>
      <c r="J42" s="194">
        <v>617</v>
      </c>
      <c r="K42" s="184">
        <f>ROUND(E42*J42,2)</f>
        <v>10396.450000000001</v>
      </c>
      <c r="L42" s="184">
        <v>21</v>
      </c>
      <c r="M42" s="184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4" t="s">
        <v>114</v>
      </c>
      <c r="S42" s="184" t="s">
        <v>324</v>
      </c>
      <c r="T42" s="184" t="s">
        <v>324</v>
      </c>
      <c r="U42" s="146"/>
      <c r="V42" s="146"/>
      <c r="W42" s="146"/>
      <c r="X42" s="146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</row>
    <row r="43" spans="1:60" ht="14.25" customHeight="1" outlineLevel="1" x14ac:dyDescent="0.2">
      <c r="A43" s="193"/>
      <c r="B43" s="190"/>
      <c r="C43" s="300" t="s">
        <v>191</v>
      </c>
      <c r="D43" s="301"/>
      <c r="E43" s="301"/>
      <c r="F43" s="301"/>
      <c r="G43" s="301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</row>
    <row r="44" spans="1:60" outlineLevel="1" x14ac:dyDescent="0.2">
      <c r="A44" s="193"/>
      <c r="B44" s="190"/>
      <c r="C44" s="195"/>
      <c r="D44" s="196"/>
      <c r="E44" s="196"/>
      <c r="F44" s="196"/>
      <c r="G44" s="19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</row>
    <row r="45" spans="1:60" outlineLevel="1" x14ac:dyDescent="0.2">
      <c r="A45" s="182">
        <v>12</v>
      </c>
      <c r="B45" s="191" t="s">
        <v>149</v>
      </c>
      <c r="C45" s="192" t="s">
        <v>215</v>
      </c>
      <c r="D45" s="183" t="s">
        <v>115</v>
      </c>
      <c r="E45" s="175">
        <f>400*0.13+550*0.18+450*0.23+280*0.3+50*0.23</f>
        <v>350</v>
      </c>
      <c r="F45" s="194"/>
      <c r="G45" s="184">
        <f>ROUND(E45*F45,2)</f>
        <v>0</v>
      </c>
      <c r="H45" s="194">
        <v>0</v>
      </c>
      <c r="I45" s="184">
        <f>ROUND(E45*H45,2)</f>
        <v>0</v>
      </c>
      <c r="J45" s="194">
        <v>191.5</v>
      </c>
      <c r="K45" s="184">
        <f>ROUND(E45*J45,2)</f>
        <v>67025</v>
      </c>
      <c r="L45" s="184">
        <v>21</v>
      </c>
      <c r="M45" s="184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4" t="s">
        <v>114</v>
      </c>
      <c r="S45" s="184" t="s">
        <v>324</v>
      </c>
      <c r="T45" s="184" t="s">
        <v>324</v>
      </c>
      <c r="U45" s="146">
        <v>0.36799999999999999</v>
      </c>
      <c r="V45" s="146">
        <f>ROUND(E45*U45,2)</f>
        <v>128.80000000000001</v>
      </c>
      <c r="W45" s="146"/>
      <c r="X45" s="146" t="s">
        <v>110</v>
      </c>
      <c r="Y45" s="143"/>
      <c r="Z45" s="143"/>
      <c r="AA45" s="143"/>
      <c r="AB45" s="143"/>
      <c r="AC45" s="143"/>
      <c r="AD45" s="143"/>
      <c r="AE45" s="143"/>
      <c r="AF45" s="143"/>
      <c r="AG45" s="143" t="s">
        <v>111</v>
      </c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</row>
    <row r="46" spans="1:60" outlineLevel="1" x14ac:dyDescent="0.2">
      <c r="A46" s="193"/>
      <c r="B46" s="190"/>
      <c r="C46" s="305"/>
      <c r="D46" s="306"/>
      <c r="E46" s="306"/>
      <c r="F46" s="306"/>
      <c r="G46" s="30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3"/>
      <c r="Z46" s="143"/>
      <c r="AA46" s="143"/>
      <c r="AB46" s="143"/>
      <c r="AC46" s="143"/>
      <c r="AD46" s="143"/>
      <c r="AE46" s="143"/>
      <c r="AF46" s="143"/>
      <c r="AG46" s="143" t="s">
        <v>93</v>
      </c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</row>
    <row r="47" spans="1:60" ht="22.5" outlineLevel="1" x14ac:dyDescent="0.2">
      <c r="A47" s="182">
        <v>13</v>
      </c>
      <c r="B47" s="191" t="s">
        <v>116</v>
      </c>
      <c r="C47" s="192" t="s">
        <v>214</v>
      </c>
      <c r="D47" s="183" t="s">
        <v>115</v>
      </c>
      <c r="E47" s="175">
        <f>E45*0.35</f>
        <v>122.49999999999999</v>
      </c>
      <c r="F47" s="194"/>
      <c r="G47" s="184">
        <f>ROUND(E47*F47,2)</f>
        <v>0</v>
      </c>
      <c r="H47" s="194">
        <v>0</v>
      </c>
      <c r="I47" s="184">
        <f>ROUND(E47*H47,2)</f>
        <v>0</v>
      </c>
      <c r="J47" s="194">
        <v>38.299999999999997</v>
      </c>
      <c r="K47" s="184">
        <f>ROUND(E47*J47,2)</f>
        <v>4691.75</v>
      </c>
      <c r="L47" s="184">
        <v>21</v>
      </c>
      <c r="M47" s="184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4" t="s">
        <v>114</v>
      </c>
      <c r="S47" s="184" t="s">
        <v>324</v>
      </c>
      <c r="T47" s="184" t="s">
        <v>324</v>
      </c>
      <c r="U47" s="146">
        <v>5.8000000000000003E-2</v>
      </c>
      <c r="V47" s="146">
        <f>ROUND(E47*U47,2)</f>
        <v>7.11</v>
      </c>
      <c r="W47" s="146"/>
      <c r="X47" s="146" t="s">
        <v>110</v>
      </c>
      <c r="Y47" s="143"/>
      <c r="Z47" s="143"/>
      <c r="AA47" s="143"/>
      <c r="AB47" s="143"/>
      <c r="AC47" s="143"/>
      <c r="AD47" s="143"/>
      <c r="AE47" s="143"/>
      <c r="AF47" s="143"/>
      <c r="AG47" s="143" t="s">
        <v>111</v>
      </c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</row>
    <row r="48" spans="1:60" outlineLevel="1" x14ac:dyDescent="0.2">
      <c r="A48" s="193"/>
      <c r="B48" s="190"/>
      <c r="C48" s="305"/>
      <c r="D48" s="306"/>
      <c r="E48" s="306"/>
      <c r="F48" s="306"/>
      <c r="G48" s="30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3"/>
      <c r="Z48" s="143"/>
      <c r="AA48" s="143"/>
      <c r="AB48" s="143"/>
      <c r="AC48" s="143"/>
      <c r="AD48" s="143"/>
      <c r="AE48" s="143"/>
      <c r="AF48" s="143"/>
      <c r="AG48" s="143" t="s">
        <v>93</v>
      </c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</row>
    <row r="49" spans="1:60" outlineLevel="1" x14ac:dyDescent="0.2">
      <c r="A49" s="182">
        <v>14</v>
      </c>
      <c r="B49" s="191" t="s">
        <v>173</v>
      </c>
      <c r="C49" s="192" t="s">
        <v>174</v>
      </c>
      <c r="D49" s="183" t="s">
        <v>115</v>
      </c>
      <c r="E49" s="175">
        <f>4*2.14</f>
        <v>8.56</v>
      </c>
      <c r="F49" s="194"/>
      <c r="G49" s="184">
        <f>ROUND(E49*F49,2)</f>
        <v>0</v>
      </c>
      <c r="H49" s="194">
        <v>0</v>
      </c>
      <c r="I49" s="184">
        <f>ROUND(E49*H49,2)</f>
        <v>0</v>
      </c>
      <c r="J49" s="194">
        <v>1273</v>
      </c>
      <c r="K49" s="184">
        <f>ROUND(E49*J49,2)</f>
        <v>10896.88</v>
      </c>
      <c r="L49" s="184">
        <v>21</v>
      </c>
      <c r="M49" s="184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4" t="s">
        <v>114</v>
      </c>
      <c r="S49" s="184" t="s">
        <v>324</v>
      </c>
      <c r="T49" s="184" t="s">
        <v>324</v>
      </c>
      <c r="U49" s="146"/>
      <c r="V49" s="146"/>
      <c r="W49" s="146"/>
      <c r="X49" s="146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</row>
    <row r="50" spans="1:60" outlineLevel="1" x14ac:dyDescent="0.2">
      <c r="A50" s="193"/>
      <c r="B50" s="190"/>
      <c r="C50" s="300" t="s">
        <v>175</v>
      </c>
      <c r="D50" s="301"/>
      <c r="E50" s="301"/>
      <c r="F50" s="301"/>
      <c r="G50" s="301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</row>
    <row r="51" spans="1:60" outlineLevel="1" x14ac:dyDescent="0.2">
      <c r="A51" s="193"/>
      <c r="B51" s="190"/>
      <c r="C51" s="195"/>
      <c r="D51" s="196"/>
      <c r="E51" s="196"/>
      <c r="F51" s="196"/>
      <c r="G51" s="19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</row>
    <row r="52" spans="1:60" ht="22.5" outlineLevel="1" x14ac:dyDescent="0.2">
      <c r="A52" s="182">
        <v>15</v>
      </c>
      <c r="B52" s="191" t="s">
        <v>117</v>
      </c>
      <c r="C52" s="192" t="s">
        <v>118</v>
      </c>
      <c r="D52" s="183" t="s">
        <v>115</v>
      </c>
      <c r="E52" s="175">
        <f>E45+E49+E30-E58</f>
        <v>497.51199999999994</v>
      </c>
      <c r="F52" s="194"/>
      <c r="G52" s="184">
        <f>ROUND(E52*F52,2)</f>
        <v>0</v>
      </c>
      <c r="H52" s="194">
        <v>0</v>
      </c>
      <c r="I52" s="184">
        <f>ROUND(E52*H52,2)</f>
        <v>0</v>
      </c>
      <c r="J52" s="194">
        <v>259.5</v>
      </c>
      <c r="K52" s="184">
        <f>ROUND(E52*J52,2)</f>
        <v>129104.36</v>
      </c>
      <c r="L52" s="184">
        <v>21</v>
      </c>
      <c r="M52" s="184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4" t="s">
        <v>114</v>
      </c>
      <c r="S52" s="184" t="s">
        <v>324</v>
      </c>
      <c r="T52" s="184" t="s">
        <v>324</v>
      </c>
      <c r="U52" s="146">
        <v>5.1999999999999998E-3</v>
      </c>
      <c r="V52" s="146">
        <f>ROUND(E52*U52,2)</f>
        <v>2.59</v>
      </c>
      <c r="W52" s="146"/>
      <c r="X52" s="146" t="s">
        <v>110</v>
      </c>
      <c r="Y52" s="143"/>
      <c r="Z52" s="143"/>
      <c r="AA52" s="143"/>
      <c r="AB52" s="143"/>
      <c r="AC52" s="143"/>
      <c r="AD52" s="143"/>
      <c r="AE52" s="143"/>
      <c r="AF52" s="143"/>
      <c r="AG52" s="143" t="s">
        <v>111</v>
      </c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</row>
    <row r="53" spans="1:60" outlineLevel="1" x14ac:dyDescent="0.2">
      <c r="A53" s="193"/>
      <c r="B53" s="190"/>
      <c r="C53" s="300" t="s">
        <v>119</v>
      </c>
      <c r="D53" s="301"/>
      <c r="E53" s="301"/>
      <c r="F53" s="301"/>
      <c r="G53" s="301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3"/>
      <c r="Z53" s="143"/>
      <c r="AA53" s="143"/>
      <c r="AB53" s="143"/>
      <c r="AC53" s="143"/>
      <c r="AD53" s="143"/>
      <c r="AE53" s="143"/>
      <c r="AF53" s="143"/>
      <c r="AG53" s="143" t="s">
        <v>112</v>
      </c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</row>
    <row r="54" spans="1:60" ht="22.15" customHeight="1" outlineLevel="1" x14ac:dyDescent="0.2">
      <c r="A54" s="193"/>
      <c r="B54" s="190"/>
      <c r="C54" s="308" t="s">
        <v>330</v>
      </c>
      <c r="D54" s="309"/>
      <c r="E54" s="309"/>
      <c r="F54" s="309"/>
      <c r="G54" s="309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</row>
    <row r="55" spans="1:60" outlineLevel="1" x14ac:dyDescent="0.2">
      <c r="A55" s="193"/>
      <c r="B55" s="190"/>
      <c r="C55" s="305"/>
      <c r="D55" s="306"/>
      <c r="E55" s="306"/>
      <c r="F55" s="306"/>
      <c r="G55" s="30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3"/>
      <c r="Z55" s="143"/>
      <c r="AA55" s="143"/>
      <c r="AB55" s="143"/>
      <c r="AC55" s="143"/>
      <c r="AD55" s="143"/>
      <c r="AE55" s="143"/>
      <c r="AF55" s="143"/>
      <c r="AG55" s="143" t="s">
        <v>93</v>
      </c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</row>
    <row r="56" spans="1:60" outlineLevel="1" x14ac:dyDescent="0.2">
      <c r="A56" s="182">
        <v>16</v>
      </c>
      <c r="B56" s="191" t="s">
        <v>120</v>
      </c>
      <c r="C56" s="192" t="s">
        <v>161</v>
      </c>
      <c r="D56" s="183" t="s">
        <v>115</v>
      </c>
      <c r="E56" s="175">
        <f>E52</f>
        <v>497.51199999999994</v>
      </c>
      <c r="F56" s="194"/>
      <c r="G56" s="184">
        <f>ROUND(E56*F56,2)</f>
        <v>0</v>
      </c>
      <c r="H56" s="194">
        <v>0</v>
      </c>
      <c r="I56" s="184">
        <f>ROUND(E56*H56,2)</f>
        <v>0</v>
      </c>
      <c r="J56" s="194">
        <v>265</v>
      </c>
      <c r="K56" s="184">
        <f>ROUND(E56*J56,2)</f>
        <v>131840.68</v>
      </c>
      <c r="L56" s="184">
        <v>21</v>
      </c>
      <c r="M56" s="184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4" t="s">
        <v>114</v>
      </c>
      <c r="S56" s="184" t="s">
        <v>324</v>
      </c>
      <c r="T56" s="184" t="s">
        <v>324</v>
      </c>
      <c r="U56" s="146">
        <v>0.65200000000000002</v>
      </c>
      <c r="V56" s="146">
        <f>ROUND(E56*U56,2)</f>
        <v>324.38</v>
      </c>
      <c r="W56" s="146"/>
      <c r="X56" s="146" t="s">
        <v>110</v>
      </c>
      <c r="Y56" s="143"/>
      <c r="Z56" s="143"/>
      <c r="AA56" s="143"/>
      <c r="AB56" s="143"/>
      <c r="AC56" s="143"/>
      <c r="AD56" s="143"/>
      <c r="AE56" s="143"/>
      <c r="AF56" s="143"/>
      <c r="AG56" s="143" t="s">
        <v>111</v>
      </c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</row>
    <row r="57" spans="1:60" outlineLevel="1" x14ac:dyDescent="0.2">
      <c r="A57" s="193"/>
      <c r="B57" s="190"/>
      <c r="C57" s="302"/>
      <c r="D57" s="303"/>
      <c r="E57" s="303"/>
      <c r="F57" s="303"/>
      <c r="G57" s="303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3"/>
      <c r="Z57" s="143"/>
      <c r="AA57" s="143"/>
      <c r="AB57" s="143"/>
      <c r="AC57" s="143"/>
      <c r="AD57" s="143"/>
      <c r="AE57" s="143"/>
      <c r="AF57" s="143"/>
      <c r="AG57" s="143" t="s">
        <v>93</v>
      </c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</row>
    <row r="58" spans="1:60" ht="22.5" outlineLevel="1" x14ac:dyDescent="0.2">
      <c r="A58" s="182">
        <v>17</v>
      </c>
      <c r="B58" s="191" t="s">
        <v>193</v>
      </c>
      <c r="C58" s="192" t="s">
        <v>282</v>
      </c>
      <c r="D58" s="183" t="s">
        <v>115</v>
      </c>
      <c r="E58" s="175">
        <f>78.6*0.3*0.6+28</f>
        <v>42.147999999999996</v>
      </c>
      <c r="F58" s="194"/>
      <c r="G58" s="184">
        <f>ROUND(E58*F58,2)</f>
        <v>0</v>
      </c>
      <c r="H58" s="194">
        <v>0</v>
      </c>
      <c r="I58" s="184">
        <f>ROUND(E58*H58,2)</f>
        <v>0</v>
      </c>
      <c r="J58" s="194">
        <v>124</v>
      </c>
      <c r="K58" s="184">
        <f>ROUND(E58*J58,2)</f>
        <v>5226.3500000000004</v>
      </c>
      <c r="L58" s="184">
        <v>21</v>
      </c>
      <c r="M58" s="184">
        <f>G58*(1+L58/100)</f>
        <v>0</v>
      </c>
      <c r="N58" s="184">
        <v>0</v>
      </c>
      <c r="O58" s="184">
        <f>ROUND(E58*N58,2)</f>
        <v>0</v>
      </c>
      <c r="P58" s="184">
        <v>0</v>
      </c>
      <c r="Q58" s="184">
        <f>ROUND(E58*P58,2)</f>
        <v>0</v>
      </c>
      <c r="R58" s="184" t="s">
        <v>114</v>
      </c>
      <c r="S58" s="184" t="s">
        <v>324</v>
      </c>
      <c r="T58" s="184" t="s">
        <v>324</v>
      </c>
      <c r="U58" s="146"/>
      <c r="V58" s="146"/>
      <c r="W58" s="146"/>
      <c r="X58" s="146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</row>
    <row r="59" spans="1:60" outlineLevel="1" x14ac:dyDescent="0.2">
      <c r="A59" s="193"/>
      <c r="B59" s="190"/>
      <c r="C59" s="300" t="s">
        <v>194</v>
      </c>
      <c r="D59" s="301"/>
      <c r="E59" s="301"/>
      <c r="F59" s="301"/>
      <c r="G59" s="301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</row>
    <row r="60" spans="1:60" outlineLevel="1" x14ac:dyDescent="0.2">
      <c r="A60" s="193"/>
      <c r="B60" s="190"/>
      <c r="C60" s="308" t="s">
        <v>283</v>
      </c>
      <c r="D60" s="309"/>
      <c r="E60" s="309"/>
      <c r="F60" s="309"/>
      <c r="G60" s="309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</row>
    <row r="61" spans="1:60" outlineLevel="1" x14ac:dyDescent="0.2">
      <c r="A61" s="193"/>
      <c r="B61" s="190"/>
      <c r="C61" s="305"/>
      <c r="D61" s="306"/>
      <c r="E61" s="306"/>
      <c r="F61" s="306"/>
      <c r="G61" s="30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</row>
    <row r="62" spans="1:60" outlineLevel="1" x14ac:dyDescent="0.2">
      <c r="A62" s="182">
        <v>18</v>
      </c>
      <c r="B62" s="191" t="s">
        <v>284</v>
      </c>
      <c r="C62" s="192" t="s">
        <v>285</v>
      </c>
      <c r="D62" s="183" t="s">
        <v>115</v>
      </c>
      <c r="E62" s="175">
        <f>78.6*0.6*0.4</f>
        <v>18.864000000000001</v>
      </c>
      <c r="F62" s="194"/>
      <c r="G62" s="184">
        <f>ROUND(E62*F62,2)</f>
        <v>0</v>
      </c>
      <c r="H62" s="194">
        <v>549.54</v>
      </c>
      <c r="I62" s="184">
        <f>ROUND(E62*H62,2)</f>
        <v>10366.52</v>
      </c>
      <c r="J62" s="194">
        <v>588.46</v>
      </c>
      <c r="K62" s="184">
        <f>ROUND(E62*J62,2)</f>
        <v>11100.71</v>
      </c>
      <c r="L62" s="184">
        <v>21</v>
      </c>
      <c r="M62" s="184">
        <f>G62*(1+L62/100)</f>
        <v>0</v>
      </c>
      <c r="N62" s="184">
        <v>1.7</v>
      </c>
      <c r="O62" s="184">
        <f>ROUND(E62*N62,2)</f>
        <v>32.07</v>
      </c>
      <c r="P62" s="184">
        <v>0</v>
      </c>
      <c r="Q62" s="184">
        <f>ROUND(E62*P62,2)</f>
        <v>0</v>
      </c>
      <c r="R62" s="184" t="s">
        <v>114</v>
      </c>
      <c r="S62" s="184" t="s">
        <v>324</v>
      </c>
      <c r="T62" s="184" t="s">
        <v>324</v>
      </c>
      <c r="U62" s="146"/>
      <c r="V62" s="146"/>
      <c r="W62" s="146"/>
      <c r="X62" s="146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</row>
    <row r="63" spans="1:60" outlineLevel="1" x14ac:dyDescent="0.2">
      <c r="A63" s="193"/>
      <c r="B63" s="190"/>
      <c r="C63" s="300" t="s">
        <v>286</v>
      </c>
      <c r="D63" s="301"/>
      <c r="E63" s="301"/>
      <c r="F63" s="301"/>
      <c r="G63" s="301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</row>
    <row r="64" spans="1:60" outlineLevel="1" x14ac:dyDescent="0.2">
      <c r="A64" s="193"/>
      <c r="B64" s="190"/>
      <c r="C64" s="305"/>
      <c r="D64" s="306"/>
      <c r="E64" s="306"/>
      <c r="F64" s="306"/>
      <c r="G64" s="30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</row>
    <row r="65" spans="1:60" outlineLevel="1" x14ac:dyDescent="0.2">
      <c r="A65" s="182">
        <v>19</v>
      </c>
      <c r="B65" s="191" t="s">
        <v>121</v>
      </c>
      <c r="C65" s="192" t="s">
        <v>158</v>
      </c>
      <c r="D65" s="183" t="s">
        <v>98</v>
      </c>
      <c r="E65" s="175">
        <v>125</v>
      </c>
      <c r="F65" s="194"/>
      <c r="G65" s="184">
        <f>ROUND(E65*F65,2)</f>
        <v>0</v>
      </c>
      <c r="H65" s="194">
        <v>1.68</v>
      </c>
      <c r="I65" s="184">
        <f>ROUND(E65*H65,2)</f>
        <v>210</v>
      </c>
      <c r="J65" s="194">
        <v>22.42</v>
      </c>
      <c r="K65" s="184">
        <f>ROUND(E65*J65,2)</f>
        <v>2802.5</v>
      </c>
      <c r="L65" s="184">
        <v>21</v>
      </c>
      <c r="M65" s="184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4" t="s">
        <v>122</v>
      </c>
      <c r="S65" s="184" t="s">
        <v>324</v>
      </c>
      <c r="T65" s="184" t="s">
        <v>324</v>
      </c>
      <c r="U65" s="146"/>
      <c r="V65" s="146"/>
      <c r="W65" s="146"/>
      <c r="X65" s="146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</row>
    <row r="66" spans="1:60" outlineLevel="1" x14ac:dyDescent="0.2">
      <c r="A66" s="193"/>
      <c r="B66" s="190"/>
      <c r="C66" s="300" t="s">
        <v>123</v>
      </c>
      <c r="D66" s="301"/>
      <c r="E66" s="301"/>
      <c r="F66" s="301"/>
      <c r="G66" s="301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</row>
    <row r="67" spans="1:60" outlineLevel="1" x14ac:dyDescent="0.2">
      <c r="A67" s="193"/>
      <c r="B67" s="190"/>
      <c r="C67" s="305"/>
      <c r="D67" s="306"/>
      <c r="E67" s="306"/>
      <c r="F67" s="306"/>
      <c r="G67" s="30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</row>
    <row r="68" spans="1:60" outlineLevel="1" x14ac:dyDescent="0.2">
      <c r="A68" s="182">
        <v>20</v>
      </c>
      <c r="B68" s="191" t="s">
        <v>185</v>
      </c>
      <c r="C68" s="192" t="s">
        <v>177</v>
      </c>
      <c r="D68" s="183" t="s">
        <v>98</v>
      </c>
      <c r="E68" s="175">
        <v>125</v>
      </c>
      <c r="F68" s="194"/>
      <c r="G68" s="184">
        <f>ROUND(E68*F68,2)</f>
        <v>0</v>
      </c>
      <c r="H68" s="194">
        <v>0</v>
      </c>
      <c r="I68" s="184">
        <f>ROUND(E68*H68,2)</f>
        <v>0</v>
      </c>
      <c r="J68" s="194">
        <v>17.399999999999999</v>
      </c>
      <c r="K68" s="184">
        <f>ROUND(E68*J68,2)</f>
        <v>2175</v>
      </c>
      <c r="L68" s="184">
        <v>21</v>
      </c>
      <c r="M68" s="184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4" t="s">
        <v>176</v>
      </c>
      <c r="S68" s="184" t="s">
        <v>324</v>
      </c>
      <c r="T68" s="184" t="s">
        <v>324</v>
      </c>
      <c r="U68" s="146">
        <v>0.06</v>
      </c>
      <c r="V68" s="146">
        <f>ROUND(E68*U68,2)</f>
        <v>7.5</v>
      </c>
      <c r="W68" s="146"/>
      <c r="X68" s="146" t="s">
        <v>110</v>
      </c>
      <c r="Y68" s="143"/>
      <c r="Z68" s="143"/>
      <c r="AA68" s="143"/>
      <c r="AB68" s="143"/>
      <c r="AC68" s="143"/>
      <c r="AD68" s="143"/>
      <c r="AE68" s="143"/>
      <c r="AF68" s="143"/>
      <c r="AG68" s="143" t="s">
        <v>111</v>
      </c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</row>
    <row r="69" spans="1:60" ht="13.15" customHeight="1" outlineLevel="1" x14ac:dyDescent="0.2">
      <c r="A69" s="193"/>
      <c r="B69" s="190"/>
      <c r="C69" s="300" t="s">
        <v>178</v>
      </c>
      <c r="D69" s="301"/>
      <c r="E69" s="301"/>
      <c r="F69" s="301"/>
      <c r="G69" s="301"/>
      <c r="H69" s="165"/>
      <c r="I69" s="146"/>
      <c r="J69" s="165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3"/>
      <c r="Z69" s="143"/>
      <c r="AA69" s="143"/>
      <c r="AB69" s="143"/>
      <c r="AC69" s="143"/>
      <c r="AD69" s="143"/>
      <c r="AE69" s="143"/>
      <c r="AF69" s="143"/>
      <c r="AG69" s="143" t="s">
        <v>112</v>
      </c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</row>
    <row r="70" spans="1:60" outlineLevel="1" x14ac:dyDescent="0.2">
      <c r="A70" s="193"/>
      <c r="B70" s="190"/>
      <c r="C70" s="195"/>
      <c r="D70" s="196"/>
      <c r="E70" s="196"/>
      <c r="F70" s="196"/>
      <c r="G70" s="19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3"/>
      <c r="Z70" s="143"/>
      <c r="AA70" s="143"/>
      <c r="AB70" s="143"/>
      <c r="AC70" s="143"/>
      <c r="AD70" s="143"/>
      <c r="AE70" s="143"/>
      <c r="AF70" s="143"/>
      <c r="AG70" s="143" t="s">
        <v>93</v>
      </c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</row>
    <row r="71" spans="1:60" outlineLevel="1" x14ac:dyDescent="0.2">
      <c r="A71" s="182">
        <v>21</v>
      </c>
      <c r="B71" s="191" t="s">
        <v>183</v>
      </c>
      <c r="C71" s="192" t="s">
        <v>184</v>
      </c>
      <c r="D71" s="183" t="s">
        <v>98</v>
      </c>
      <c r="E71" s="175">
        <f>1400+50+280</f>
        <v>1730</v>
      </c>
      <c r="F71" s="194"/>
      <c r="G71" s="184">
        <f>ROUND(E71*F71,2)</f>
        <v>0</v>
      </c>
      <c r="H71" s="194">
        <v>0</v>
      </c>
      <c r="I71" s="184">
        <f>ROUND(E71*H71,2)</f>
        <v>0</v>
      </c>
      <c r="J71" s="194">
        <v>13.3</v>
      </c>
      <c r="K71" s="184">
        <f>ROUND(E71*J71,2)</f>
        <v>23009</v>
      </c>
      <c r="L71" s="184">
        <v>21</v>
      </c>
      <c r="M71" s="184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4" t="s">
        <v>114</v>
      </c>
      <c r="S71" s="184" t="s">
        <v>324</v>
      </c>
      <c r="T71" s="184" t="s">
        <v>324</v>
      </c>
      <c r="U71" s="146"/>
      <c r="V71" s="146"/>
      <c r="W71" s="146"/>
      <c r="X71" s="146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</row>
    <row r="72" spans="1:60" ht="13.15" customHeight="1" outlineLevel="1" x14ac:dyDescent="0.2">
      <c r="A72" s="193"/>
      <c r="B72" s="190"/>
      <c r="C72" s="195"/>
      <c r="D72" s="196"/>
      <c r="E72" s="196"/>
      <c r="F72" s="196"/>
      <c r="G72" s="19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</row>
    <row r="73" spans="1:60" ht="13.15" customHeight="1" outlineLevel="1" x14ac:dyDescent="0.2">
      <c r="A73" s="182">
        <v>22</v>
      </c>
      <c r="B73" s="191" t="s">
        <v>257</v>
      </c>
      <c r="C73" s="192" t="s">
        <v>258</v>
      </c>
      <c r="D73" s="183" t="s">
        <v>98</v>
      </c>
      <c r="E73" s="175">
        <v>79</v>
      </c>
      <c r="F73" s="194"/>
      <c r="G73" s="184">
        <f>ROUND(E73*F73,2)</f>
        <v>0</v>
      </c>
      <c r="H73" s="194">
        <v>0</v>
      </c>
      <c r="I73" s="184">
        <f>ROUND(E73*H73,2)</f>
        <v>0</v>
      </c>
      <c r="J73" s="194">
        <v>13.3</v>
      </c>
      <c r="K73" s="184">
        <f>ROUND(E73*J73,2)</f>
        <v>1050.7</v>
      </c>
      <c r="L73" s="184">
        <v>21</v>
      </c>
      <c r="M73" s="184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4" t="s">
        <v>114</v>
      </c>
      <c r="S73" s="184" t="s">
        <v>324</v>
      </c>
      <c r="T73" s="184" t="s">
        <v>324</v>
      </c>
      <c r="U73" s="146"/>
      <c r="V73" s="146"/>
      <c r="W73" s="146"/>
      <c r="X73" s="146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</row>
    <row r="74" spans="1:60" ht="13.15" customHeight="1" outlineLevel="1" x14ac:dyDescent="0.2">
      <c r="A74" s="193"/>
      <c r="B74" s="190"/>
      <c r="C74" s="187" t="s">
        <v>256</v>
      </c>
      <c r="D74" s="188"/>
      <c r="E74" s="189"/>
      <c r="F74" s="200"/>
      <c r="G74" s="146"/>
      <c r="H74" s="165"/>
      <c r="I74" s="146"/>
      <c r="J74" s="165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</row>
    <row r="75" spans="1:60" ht="13.15" customHeight="1" outlineLevel="1" x14ac:dyDescent="0.2">
      <c r="A75" s="193"/>
      <c r="B75" s="190"/>
      <c r="C75" s="195"/>
      <c r="D75" s="196"/>
      <c r="E75" s="196"/>
      <c r="F75" s="196"/>
      <c r="G75" s="19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</row>
    <row r="76" spans="1:60" outlineLevel="1" x14ac:dyDescent="0.2">
      <c r="A76" s="182">
        <v>23</v>
      </c>
      <c r="B76" s="191" t="s">
        <v>124</v>
      </c>
      <c r="C76" s="192" t="s">
        <v>125</v>
      </c>
      <c r="D76" s="183" t="s">
        <v>115</v>
      </c>
      <c r="E76" s="175">
        <f>E56</f>
        <v>497.51199999999994</v>
      </c>
      <c r="F76" s="194"/>
      <c r="G76" s="184">
        <f>ROUND(E76*F76,2)</f>
        <v>0</v>
      </c>
      <c r="H76" s="194">
        <v>0</v>
      </c>
      <c r="I76" s="184">
        <f>ROUND(E76*H76,2)</f>
        <v>0</v>
      </c>
      <c r="J76" s="194">
        <v>282.5</v>
      </c>
      <c r="K76" s="184">
        <f>ROUND(E76*J76,2)</f>
        <v>140547.14000000001</v>
      </c>
      <c r="L76" s="184">
        <v>21</v>
      </c>
      <c r="M76" s="184">
        <f>G76*(1+L76/100)</f>
        <v>0</v>
      </c>
      <c r="N76" s="184">
        <v>0</v>
      </c>
      <c r="O76" s="184">
        <f>ROUND(E76*N76,2)</f>
        <v>0</v>
      </c>
      <c r="P76" s="184">
        <v>0</v>
      </c>
      <c r="Q76" s="184">
        <f>ROUND(E76*P76,2)</f>
        <v>0</v>
      </c>
      <c r="R76" s="184" t="s">
        <v>114</v>
      </c>
      <c r="S76" s="184" t="s">
        <v>324</v>
      </c>
      <c r="T76" s="184" t="s">
        <v>324</v>
      </c>
      <c r="U76" s="146"/>
      <c r="V76" s="146"/>
      <c r="W76" s="146"/>
      <c r="X76" s="146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</row>
    <row r="77" spans="1:60" outlineLevel="1" x14ac:dyDescent="0.2">
      <c r="A77" s="193"/>
      <c r="B77" s="190"/>
      <c r="C77" s="302"/>
      <c r="D77" s="303"/>
      <c r="E77" s="303"/>
      <c r="F77" s="303"/>
      <c r="G77" s="303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</row>
    <row r="78" spans="1:60" outlineLevel="1" x14ac:dyDescent="0.2">
      <c r="A78" s="148" t="s">
        <v>91</v>
      </c>
      <c r="B78" s="149" t="s">
        <v>54</v>
      </c>
      <c r="C78" s="156" t="s">
        <v>55</v>
      </c>
      <c r="D78" s="150"/>
      <c r="E78" s="151"/>
      <c r="F78" s="152"/>
      <c r="G78" s="152">
        <f>SUMIF(AG79:AG106,"&lt;&gt;NOR",G79:G106)</f>
        <v>0</v>
      </c>
      <c r="H78" s="152"/>
      <c r="I78" s="152">
        <f>SUM(I81:I103)</f>
        <v>1801917.15</v>
      </c>
      <c r="J78" s="152"/>
      <c r="K78" s="152">
        <f>SUM(K81:K103)</f>
        <v>877095.65</v>
      </c>
      <c r="L78" s="152"/>
      <c r="M78" s="152">
        <f>SUM(M79:M106)</f>
        <v>0</v>
      </c>
      <c r="N78" s="152"/>
      <c r="O78" s="152">
        <f>SUM(O81:O103)</f>
        <v>1888.69</v>
      </c>
      <c r="P78" s="152"/>
      <c r="Q78" s="152">
        <f>SUM(Q81:Q103)</f>
        <v>0</v>
      </c>
      <c r="R78" s="152"/>
      <c r="S78" s="152"/>
      <c r="T78" s="153"/>
      <c r="U78" s="146"/>
      <c r="V78" s="146"/>
      <c r="W78" s="146"/>
      <c r="X78" s="146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</row>
    <row r="79" spans="1:60" ht="22.5" outlineLevel="1" x14ac:dyDescent="0.2">
      <c r="A79" s="182">
        <v>24</v>
      </c>
      <c r="B79" s="191" t="s">
        <v>231</v>
      </c>
      <c r="C79" s="192" t="s">
        <v>230</v>
      </c>
      <c r="D79" s="183" t="s">
        <v>98</v>
      </c>
      <c r="E79" s="175">
        <v>270</v>
      </c>
      <c r="F79" s="194"/>
      <c r="G79" s="184">
        <f>ROUND(E79*F79,2)</f>
        <v>0</v>
      </c>
      <c r="H79" s="194">
        <v>164.95</v>
      </c>
      <c r="I79" s="184">
        <f>ROUND(E79*H79,2)</f>
        <v>44536.5</v>
      </c>
      <c r="J79" s="194">
        <v>26.05</v>
      </c>
      <c r="K79" s="184">
        <f>ROUND(E79*J79,2)</f>
        <v>7033.5</v>
      </c>
      <c r="L79" s="184">
        <v>21</v>
      </c>
      <c r="M79" s="184">
        <f>G79*(1+L79/100)</f>
        <v>0</v>
      </c>
      <c r="N79" s="184">
        <v>0.378</v>
      </c>
      <c r="O79" s="184">
        <f>ROUND(E79*N79,2)</f>
        <v>102.06</v>
      </c>
      <c r="P79" s="184">
        <v>0</v>
      </c>
      <c r="Q79" s="184">
        <f>ROUND(E79*P79,2)</f>
        <v>0</v>
      </c>
      <c r="R79" s="184" t="s">
        <v>109</v>
      </c>
      <c r="S79" s="184" t="s">
        <v>324</v>
      </c>
      <c r="T79" s="184" t="s">
        <v>324</v>
      </c>
      <c r="U79" s="146">
        <v>0</v>
      </c>
      <c r="V79" s="146">
        <f>ROUND(E79*U79,2)</f>
        <v>0</v>
      </c>
      <c r="W79" s="146"/>
      <c r="X79" s="146" t="s">
        <v>110</v>
      </c>
      <c r="Y79" s="143"/>
      <c r="Z79" s="143"/>
      <c r="AA79" s="143"/>
      <c r="AB79" s="143"/>
      <c r="AC79" s="143"/>
      <c r="AD79" s="143"/>
      <c r="AE79" s="143"/>
      <c r="AF79" s="143"/>
      <c r="AG79" s="143" t="s">
        <v>111</v>
      </c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</row>
    <row r="80" spans="1:60" outlineLevel="1" x14ac:dyDescent="0.2">
      <c r="A80" s="193"/>
      <c r="B80" s="190"/>
      <c r="C80" s="302"/>
      <c r="D80" s="303"/>
      <c r="E80" s="303"/>
      <c r="F80" s="303"/>
      <c r="G80" s="303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3"/>
      <c r="Z80" s="143"/>
      <c r="AA80" s="143"/>
      <c r="AB80" s="143"/>
      <c r="AC80" s="143"/>
      <c r="AD80" s="143"/>
      <c r="AE80" s="143"/>
      <c r="AF80" s="143"/>
      <c r="AG80" s="143" t="s">
        <v>93</v>
      </c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</row>
    <row r="81" spans="1:60" ht="22.5" x14ac:dyDescent="0.2">
      <c r="A81" s="182">
        <v>25</v>
      </c>
      <c r="B81" s="191" t="s">
        <v>233</v>
      </c>
      <c r="C81" s="192" t="s">
        <v>232</v>
      </c>
      <c r="D81" s="183" t="s">
        <v>98</v>
      </c>
      <c r="E81" s="175">
        <f>E79</f>
        <v>270</v>
      </c>
      <c r="F81" s="194"/>
      <c r="G81" s="184">
        <f>ROUND(E81*F81,2)</f>
        <v>0</v>
      </c>
      <c r="H81" s="194">
        <v>164.95</v>
      </c>
      <c r="I81" s="184">
        <f>ROUND(E81*H81,2)</f>
        <v>44536.5</v>
      </c>
      <c r="J81" s="194">
        <v>26.05</v>
      </c>
      <c r="K81" s="184">
        <f>ROUND(E81*J81,2)</f>
        <v>7033.5</v>
      </c>
      <c r="L81" s="184">
        <v>21</v>
      </c>
      <c r="M81" s="184">
        <f>G81*(1+L81/100)</f>
        <v>0</v>
      </c>
      <c r="N81" s="184">
        <v>0.378</v>
      </c>
      <c r="O81" s="184">
        <f>ROUND(E81*N81,2)</f>
        <v>102.06</v>
      </c>
      <c r="P81" s="184">
        <v>0</v>
      </c>
      <c r="Q81" s="184">
        <f>ROUND(E81*P81,2)</f>
        <v>0</v>
      </c>
      <c r="R81" s="184" t="s">
        <v>109</v>
      </c>
      <c r="S81" s="184" t="s">
        <v>324</v>
      </c>
      <c r="T81" s="184" t="s">
        <v>324</v>
      </c>
      <c r="U81" s="147"/>
      <c r="V81" s="147">
        <f>SUM(V84:V106)</f>
        <v>14.4</v>
      </c>
      <c r="W81" s="147"/>
      <c r="X81" s="147"/>
      <c r="Y81" s="84"/>
      <c r="AG81" t="s">
        <v>92</v>
      </c>
    </row>
    <row r="82" spans="1:60" x14ac:dyDescent="0.2">
      <c r="A82" s="193"/>
      <c r="B82" s="190"/>
      <c r="C82" s="302"/>
      <c r="D82" s="303"/>
      <c r="E82" s="303"/>
      <c r="F82" s="303"/>
      <c r="G82" s="303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7"/>
      <c r="V82" s="147"/>
      <c r="W82" s="147"/>
      <c r="X82" s="147"/>
      <c r="Y82" s="84"/>
    </row>
    <row r="83" spans="1:60" ht="22.5" x14ac:dyDescent="0.2">
      <c r="A83" s="182">
        <v>26</v>
      </c>
      <c r="B83" s="191" t="s">
        <v>263</v>
      </c>
      <c r="C83" s="192" t="s">
        <v>262</v>
      </c>
      <c r="D83" s="183" t="s">
        <v>98</v>
      </c>
      <c r="E83" s="175">
        <f>1400*2</f>
        <v>2800</v>
      </c>
      <c r="F83" s="194"/>
      <c r="G83" s="184">
        <f>ROUND(E83*F83,2)</f>
        <v>0</v>
      </c>
      <c r="H83" s="194">
        <v>164.95</v>
      </c>
      <c r="I83" s="184">
        <f>ROUND(E83*H83,2)</f>
        <v>461860</v>
      </c>
      <c r="J83" s="194">
        <v>26.05</v>
      </c>
      <c r="K83" s="184">
        <f>ROUND(E83*J83,2)</f>
        <v>72940</v>
      </c>
      <c r="L83" s="184">
        <v>21</v>
      </c>
      <c r="M83" s="184">
        <f>G83*(1+L83/100)</f>
        <v>0</v>
      </c>
      <c r="N83" s="184">
        <v>0.378</v>
      </c>
      <c r="O83" s="184">
        <f>ROUND(E83*N83,2)</f>
        <v>1058.4000000000001</v>
      </c>
      <c r="P83" s="184">
        <v>0</v>
      </c>
      <c r="Q83" s="184">
        <f>ROUND(E83*P83,2)</f>
        <v>0</v>
      </c>
      <c r="R83" s="184" t="s">
        <v>109</v>
      </c>
      <c r="S83" s="184" t="s">
        <v>324</v>
      </c>
      <c r="T83" s="184" t="s">
        <v>324</v>
      </c>
      <c r="U83" s="147"/>
      <c r="V83" s="147"/>
      <c r="W83" s="147"/>
      <c r="X83" s="147"/>
      <c r="Y83" s="84"/>
    </row>
    <row r="84" spans="1:60" outlineLevel="1" x14ac:dyDescent="0.2">
      <c r="A84" s="193"/>
      <c r="B84" s="190"/>
      <c r="C84" s="197"/>
      <c r="D84" s="198"/>
      <c r="E84" s="198"/>
      <c r="F84" s="198"/>
      <c r="G84" s="198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>
        <v>2.5999999999999999E-2</v>
      </c>
      <c r="V84" s="146">
        <f>ROUND(E84*U84,2)</f>
        <v>0</v>
      </c>
      <c r="W84" s="146"/>
      <c r="X84" s="146" t="s">
        <v>110</v>
      </c>
      <c r="Y84" s="143"/>
      <c r="Z84" s="143"/>
      <c r="AA84" s="143"/>
      <c r="AB84" s="143"/>
      <c r="AC84" s="143"/>
      <c r="AD84" s="143"/>
      <c r="AE84" s="143"/>
      <c r="AF84" s="143"/>
      <c r="AG84" s="143" t="s">
        <v>111</v>
      </c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</row>
    <row r="85" spans="1:60" ht="22.5" outlineLevel="1" x14ac:dyDescent="0.2">
      <c r="A85" s="182">
        <v>27</v>
      </c>
      <c r="B85" s="191" t="s">
        <v>187</v>
      </c>
      <c r="C85" s="192" t="s">
        <v>186</v>
      </c>
      <c r="D85" s="183" t="s">
        <v>98</v>
      </c>
      <c r="E85" s="175">
        <v>200</v>
      </c>
      <c r="F85" s="194"/>
      <c r="G85" s="184">
        <f>ROUND(E85*F85,2)</f>
        <v>0</v>
      </c>
      <c r="H85" s="194">
        <v>164.95</v>
      </c>
      <c r="I85" s="184">
        <f>ROUND(E85*H85,2)</f>
        <v>32990</v>
      </c>
      <c r="J85" s="194">
        <v>26.05</v>
      </c>
      <c r="K85" s="184">
        <f>ROUND(E85*J85,2)</f>
        <v>5210</v>
      </c>
      <c r="L85" s="184">
        <v>21</v>
      </c>
      <c r="M85" s="184">
        <f>G85*(1+L85/100)</f>
        <v>0</v>
      </c>
      <c r="N85" s="184">
        <v>0.378</v>
      </c>
      <c r="O85" s="184">
        <f>ROUND(E85*N85,2)</f>
        <v>75.599999999999994</v>
      </c>
      <c r="P85" s="184">
        <v>0</v>
      </c>
      <c r="Q85" s="184">
        <f>ROUND(E85*P85,2)</f>
        <v>0</v>
      </c>
      <c r="R85" s="184" t="s">
        <v>109</v>
      </c>
      <c r="S85" s="184" t="s">
        <v>324</v>
      </c>
      <c r="T85" s="184" t="s">
        <v>324</v>
      </c>
      <c r="U85" s="146"/>
      <c r="V85" s="146"/>
      <c r="W85" s="146"/>
      <c r="X85" s="146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</row>
    <row r="86" spans="1:60" outlineLevel="1" x14ac:dyDescent="0.2">
      <c r="A86" s="193"/>
      <c r="B86" s="190"/>
      <c r="C86" s="197"/>
      <c r="D86" s="198"/>
      <c r="E86" s="198"/>
      <c r="F86" s="198"/>
      <c r="G86" s="198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</row>
    <row r="87" spans="1:60" ht="22.5" outlineLevel="1" x14ac:dyDescent="0.2">
      <c r="A87" s="182">
        <v>28</v>
      </c>
      <c r="B87" s="191" t="s">
        <v>206</v>
      </c>
      <c r="C87" s="192" t="s">
        <v>207</v>
      </c>
      <c r="D87" s="183" t="s">
        <v>98</v>
      </c>
      <c r="E87" s="175">
        <f>E89</f>
        <v>2400</v>
      </c>
      <c r="F87" s="194"/>
      <c r="G87" s="184">
        <f>ROUND(E87*F87,2)</f>
        <v>0</v>
      </c>
      <c r="H87" s="194">
        <v>13.66</v>
      </c>
      <c r="I87" s="184">
        <f>ROUND(E87*H87,2)</f>
        <v>32784</v>
      </c>
      <c r="J87" s="194">
        <v>1.1399999999999999</v>
      </c>
      <c r="K87" s="184">
        <f>ROUND(E87*J87,2)</f>
        <v>2736</v>
      </c>
      <c r="L87" s="184">
        <v>21</v>
      </c>
      <c r="M87" s="184">
        <f>G87*(1+L87/100)</f>
        <v>0</v>
      </c>
      <c r="N87" s="184">
        <v>6.0999999999999997E-4</v>
      </c>
      <c r="O87" s="184">
        <f>ROUND(E87*N87,2)</f>
        <v>1.46</v>
      </c>
      <c r="P87" s="184">
        <v>0</v>
      </c>
      <c r="Q87" s="184">
        <f>ROUND(E87*P87,2)</f>
        <v>0</v>
      </c>
      <c r="R87" s="184" t="s">
        <v>109</v>
      </c>
      <c r="S87" s="184" t="s">
        <v>324</v>
      </c>
      <c r="T87" s="184" t="s">
        <v>324</v>
      </c>
      <c r="U87" s="146"/>
      <c r="V87" s="146"/>
      <c r="W87" s="146"/>
      <c r="X87" s="146"/>
      <c r="Y87" s="143"/>
      <c r="Z87" s="143"/>
      <c r="AA87" s="143"/>
      <c r="AB87" s="143"/>
      <c r="AC87" s="143"/>
      <c r="AD87" s="143"/>
      <c r="AE87" s="143"/>
      <c r="AF87" s="143"/>
      <c r="AG87" s="143" t="s">
        <v>93</v>
      </c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</row>
    <row r="88" spans="1:60" outlineLevel="1" x14ac:dyDescent="0.2">
      <c r="A88" s="193"/>
      <c r="B88" s="190"/>
      <c r="C88" s="304"/>
      <c r="D88" s="304"/>
      <c r="E88" s="304"/>
      <c r="F88" s="304"/>
      <c r="G88" s="304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</row>
    <row r="89" spans="1:60" ht="22.5" outlineLevel="1" x14ac:dyDescent="0.2">
      <c r="A89" s="182">
        <v>29</v>
      </c>
      <c r="B89" s="191" t="s">
        <v>234</v>
      </c>
      <c r="C89" s="192" t="s">
        <v>268</v>
      </c>
      <c r="D89" s="183" t="s">
        <v>98</v>
      </c>
      <c r="E89" s="175">
        <v>2400</v>
      </c>
      <c r="F89" s="194"/>
      <c r="G89" s="184">
        <f>ROUND(E89*F89,2)</f>
        <v>0</v>
      </c>
      <c r="H89" s="194">
        <v>212.06</v>
      </c>
      <c r="I89" s="184">
        <f>ROUND(E89*H89,2)</f>
        <v>508944</v>
      </c>
      <c r="J89" s="194">
        <v>128.94</v>
      </c>
      <c r="K89" s="184">
        <f>ROUND(E89*J89,2)</f>
        <v>309456</v>
      </c>
      <c r="L89" s="184">
        <v>21</v>
      </c>
      <c r="M89" s="184">
        <f>G89*(1+L89/100)</f>
        <v>0</v>
      </c>
      <c r="N89" s="184">
        <v>0.10373</v>
      </c>
      <c r="O89" s="184">
        <f>ROUND(E89*N89,2)</f>
        <v>248.95</v>
      </c>
      <c r="P89" s="184">
        <v>0</v>
      </c>
      <c r="Q89" s="184">
        <f>ROUND(E89*P89,2)</f>
        <v>0</v>
      </c>
      <c r="R89" s="184" t="s">
        <v>109</v>
      </c>
      <c r="S89" s="184" t="s">
        <v>324</v>
      </c>
      <c r="T89" s="184" t="s">
        <v>324</v>
      </c>
      <c r="U89" s="146"/>
      <c r="V89" s="146"/>
      <c r="W89" s="146"/>
      <c r="X89" s="146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</row>
    <row r="90" spans="1:60" outlineLevel="1" x14ac:dyDescent="0.2">
      <c r="A90" s="193"/>
      <c r="B90" s="190"/>
      <c r="C90" s="199"/>
      <c r="D90" s="199"/>
      <c r="E90" s="199"/>
      <c r="F90" s="199"/>
      <c r="G90" s="199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3"/>
      <c r="Z90" s="143"/>
      <c r="AA90" s="143"/>
      <c r="AB90" s="143"/>
      <c r="AC90" s="143"/>
      <c r="AD90" s="143"/>
      <c r="AE90" s="143"/>
      <c r="AF90" s="143"/>
      <c r="AG90" s="143" t="s">
        <v>93</v>
      </c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</row>
    <row r="91" spans="1:60" ht="22.5" outlineLevel="1" x14ac:dyDescent="0.2">
      <c r="A91" s="182">
        <v>30</v>
      </c>
      <c r="B91" s="191" t="s">
        <v>264</v>
      </c>
      <c r="C91" s="201" t="s">
        <v>267</v>
      </c>
      <c r="D91" s="202" t="s">
        <v>98</v>
      </c>
      <c r="E91" s="203">
        <v>1400</v>
      </c>
      <c r="F91" s="204"/>
      <c r="G91" s="205">
        <f>ROUND(E91*F91,2)</f>
        <v>0</v>
      </c>
      <c r="H91" s="194">
        <v>212.06</v>
      </c>
      <c r="I91" s="184">
        <f>ROUND(E91*H91,2)</f>
        <v>296884</v>
      </c>
      <c r="J91" s="194">
        <v>128.94</v>
      </c>
      <c r="K91" s="184">
        <f>ROUND(E91*J91,2)</f>
        <v>180516</v>
      </c>
      <c r="L91" s="184">
        <v>21</v>
      </c>
      <c r="M91" s="184">
        <f>G91*(1+L91/100)</f>
        <v>0</v>
      </c>
      <c r="N91" s="184">
        <v>0.10373</v>
      </c>
      <c r="O91" s="184">
        <f>ROUND(E91*N91,2)</f>
        <v>145.22</v>
      </c>
      <c r="P91" s="184">
        <v>0</v>
      </c>
      <c r="Q91" s="184">
        <f>ROUND(E91*P91,2)</f>
        <v>0</v>
      </c>
      <c r="R91" s="184" t="s">
        <v>109</v>
      </c>
      <c r="S91" s="184" t="s">
        <v>324</v>
      </c>
      <c r="T91" s="184" t="s">
        <v>324</v>
      </c>
      <c r="U91" s="146"/>
      <c r="V91" s="146"/>
      <c r="W91" s="146"/>
      <c r="X91" s="146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</row>
    <row r="92" spans="1:60" outlineLevel="1" x14ac:dyDescent="0.2">
      <c r="A92" s="193"/>
      <c r="B92" s="190"/>
      <c r="C92" s="199"/>
      <c r="D92" s="199"/>
      <c r="E92" s="199"/>
      <c r="F92" s="199"/>
      <c r="G92" s="199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</row>
    <row r="93" spans="1:60" ht="22.5" outlineLevel="1" x14ac:dyDescent="0.2">
      <c r="A93" s="182">
        <v>31</v>
      </c>
      <c r="B93" s="191" t="s">
        <v>266</v>
      </c>
      <c r="C93" s="192" t="s">
        <v>265</v>
      </c>
      <c r="D93" s="202" t="s">
        <v>98</v>
      </c>
      <c r="E93" s="203">
        <f>E91</f>
        <v>1400</v>
      </c>
      <c r="F93" s="204"/>
      <c r="G93" s="205">
        <f>ROUND(E93*F93,2)</f>
        <v>0</v>
      </c>
      <c r="H93" s="194">
        <v>212.06</v>
      </c>
      <c r="I93" s="184">
        <f>ROUND(E93*H93,2)</f>
        <v>296884</v>
      </c>
      <c r="J93" s="194">
        <v>128.94</v>
      </c>
      <c r="K93" s="184">
        <f>ROUND(E93*J93,2)</f>
        <v>180516</v>
      </c>
      <c r="L93" s="184">
        <v>21</v>
      </c>
      <c r="M93" s="184">
        <f>G93*(1+L93/100)</f>
        <v>0</v>
      </c>
      <c r="N93" s="184">
        <v>0.10373</v>
      </c>
      <c r="O93" s="184">
        <f>ROUND(E93*N93,2)</f>
        <v>145.22</v>
      </c>
      <c r="P93" s="184">
        <v>0</v>
      </c>
      <c r="Q93" s="184">
        <f>ROUND(E93*P93,2)</f>
        <v>0</v>
      </c>
      <c r="R93" s="184" t="s">
        <v>109</v>
      </c>
      <c r="S93" s="184" t="s">
        <v>324</v>
      </c>
      <c r="T93" s="184" t="s">
        <v>324</v>
      </c>
      <c r="U93" s="146"/>
      <c r="V93" s="146"/>
      <c r="W93" s="146"/>
      <c r="X93" s="146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</row>
    <row r="94" spans="1:60" outlineLevel="1" x14ac:dyDescent="0.2">
      <c r="A94" s="193"/>
      <c r="B94" s="190"/>
      <c r="C94" s="197"/>
      <c r="D94" s="198"/>
      <c r="E94" s="198"/>
      <c r="F94" s="198"/>
      <c r="G94" s="198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</row>
    <row r="95" spans="1:60" outlineLevel="1" x14ac:dyDescent="0.2">
      <c r="A95" s="182">
        <v>32</v>
      </c>
      <c r="B95" s="191" t="s">
        <v>236</v>
      </c>
      <c r="C95" s="192" t="s">
        <v>269</v>
      </c>
      <c r="D95" s="183" t="s">
        <v>98</v>
      </c>
      <c r="E95" s="175">
        <v>270</v>
      </c>
      <c r="F95" s="194"/>
      <c r="G95" s="184">
        <f>ROUND(E95*F95,2)</f>
        <v>0</v>
      </c>
      <c r="H95" s="194">
        <v>212.06</v>
      </c>
      <c r="I95" s="184">
        <f>ROUND(E95*H95,2)</f>
        <v>57256.2</v>
      </c>
      <c r="J95" s="194">
        <v>128.94</v>
      </c>
      <c r="K95" s="184">
        <f>ROUND(E95*J95,2)</f>
        <v>34813.800000000003</v>
      </c>
      <c r="L95" s="184">
        <v>21</v>
      </c>
      <c r="M95" s="184">
        <f>G95*(1+L95/100)</f>
        <v>0</v>
      </c>
      <c r="N95" s="184">
        <v>0.10373</v>
      </c>
      <c r="O95" s="184">
        <f>ROUND(E95*N95,2)</f>
        <v>28.01</v>
      </c>
      <c r="P95" s="184">
        <v>0</v>
      </c>
      <c r="Q95" s="184">
        <f>ROUND(E95*P95,2)</f>
        <v>0</v>
      </c>
      <c r="R95" s="184" t="s">
        <v>109</v>
      </c>
      <c r="S95" s="184" t="s">
        <v>324</v>
      </c>
      <c r="T95" s="184" t="s">
        <v>324</v>
      </c>
      <c r="U95" s="146"/>
      <c r="V95" s="146"/>
      <c r="W95" s="146"/>
      <c r="X95" s="146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</row>
    <row r="96" spans="1:60" ht="23.25" customHeight="1" outlineLevel="1" x14ac:dyDescent="0.2">
      <c r="A96" s="193"/>
      <c r="B96" s="190"/>
      <c r="C96" s="300" t="s">
        <v>270</v>
      </c>
      <c r="D96" s="301"/>
      <c r="E96" s="301"/>
      <c r="F96" s="301"/>
      <c r="G96" s="301"/>
      <c r="H96" s="165"/>
      <c r="I96" s="146"/>
      <c r="J96" s="165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</row>
    <row r="97" spans="1:60" outlineLevel="1" x14ac:dyDescent="0.2">
      <c r="A97" s="193"/>
      <c r="B97" s="190"/>
      <c r="C97" s="307"/>
      <c r="D97" s="307"/>
      <c r="E97" s="307"/>
      <c r="F97" s="307"/>
      <c r="G97" s="307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</row>
    <row r="98" spans="1:60" outlineLevel="1" x14ac:dyDescent="0.2">
      <c r="A98" s="182">
        <v>33</v>
      </c>
      <c r="B98" s="191" t="s">
        <v>235</v>
      </c>
      <c r="C98" s="192" t="s">
        <v>271</v>
      </c>
      <c r="D98" s="183" t="s">
        <v>98</v>
      </c>
      <c r="E98" s="175">
        <f>E95*1.04</f>
        <v>280.8</v>
      </c>
      <c r="F98" s="194"/>
      <c r="G98" s="184">
        <f>ROUND(E98*F98,2)</f>
        <v>0</v>
      </c>
      <c r="H98" s="194">
        <v>212.06</v>
      </c>
      <c r="I98" s="184">
        <f>ROUND(E98*H98,2)</f>
        <v>59546.45</v>
      </c>
      <c r="J98" s="194">
        <v>128.94</v>
      </c>
      <c r="K98" s="184">
        <f>ROUND(E98*J98,2)</f>
        <v>36206.35</v>
      </c>
      <c r="L98" s="184">
        <v>21</v>
      </c>
      <c r="M98" s="184">
        <f>G98*(1+L98/100)</f>
        <v>0</v>
      </c>
      <c r="N98" s="184">
        <v>0.10373</v>
      </c>
      <c r="O98" s="184">
        <f>ROUND(E98*N98,2)</f>
        <v>29.13</v>
      </c>
      <c r="P98" s="184">
        <v>0</v>
      </c>
      <c r="Q98" s="184">
        <f>ROUND(E98*P98,2)</f>
        <v>0</v>
      </c>
      <c r="R98" s="184" t="s">
        <v>109</v>
      </c>
      <c r="S98" s="184" t="s">
        <v>324</v>
      </c>
      <c r="T98" s="184" t="s">
        <v>324</v>
      </c>
      <c r="U98" s="146"/>
      <c r="V98" s="146"/>
      <c r="W98" s="146"/>
      <c r="X98" s="146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</row>
    <row r="99" spans="1:60" outlineLevel="1" x14ac:dyDescent="0.2">
      <c r="A99" s="193"/>
      <c r="B99" s="190"/>
      <c r="C99" s="197"/>
      <c r="D99" s="198"/>
      <c r="E99" s="198"/>
      <c r="F99" s="198"/>
      <c r="G99" s="198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</row>
    <row r="100" spans="1:60" outlineLevel="1" x14ac:dyDescent="0.2">
      <c r="A100" s="182">
        <v>34</v>
      </c>
      <c r="B100" s="191" t="s">
        <v>165</v>
      </c>
      <c r="C100" s="192" t="s">
        <v>160</v>
      </c>
      <c r="D100" s="183" t="s">
        <v>98</v>
      </c>
      <c r="E100" s="175">
        <v>200</v>
      </c>
      <c r="F100" s="194"/>
      <c r="G100" s="184">
        <f>ROUND(E100*F100,2)</f>
        <v>0</v>
      </c>
      <c r="H100" s="194">
        <v>51.16</v>
      </c>
      <c r="I100" s="184">
        <f>ROUND(E100*H100,2)</f>
        <v>10232</v>
      </c>
      <c r="J100" s="194">
        <v>238.34</v>
      </c>
      <c r="K100" s="184">
        <f>ROUND(E100*J100,2)</f>
        <v>47668</v>
      </c>
      <c r="L100" s="184">
        <v>21</v>
      </c>
      <c r="M100" s="184">
        <f>G100*(1+L100/100)</f>
        <v>0</v>
      </c>
      <c r="N100" s="184">
        <v>9.2799999999999994E-2</v>
      </c>
      <c r="O100" s="184">
        <f>ROUND(E100*N100,2)</f>
        <v>18.559999999999999</v>
      </c>
      <c r="P100" s="184">
        <v>0</v>
      </c>
      <c r="Q100" s="184">
        <f>ROUND(E100*P100,2)</f>
        <v>0</v>
      </c>
      <c r="R100" s="184" t="s">
        <v>109</v>
      </c>
      <c r="S100" s="184" t="s">
        <v>324</v>
      </c>
      <c r="T100" s="184" t="s">
        <v>324</v>
      </c>
      <c r="U100" s="146">
        <v>7.1999999999999995E-2</v>
      </c>
      <c r="V100" s="146">
        <f>ROUND(E100*U100,2)</f>
        <v>14.4</v>
      </c>
      <c r="W100" s="146"/>
      <c r="X100" s="146" t="s">
        <v>110</v>
      </c>
      <c r="Y100" s="143"/>
      <c r="Z100" s="143"/>
      <c r="AA100" s="143"/>
      <c r="AB100" s="143"/>
      <c r="AC100" s="143"/>
      <c r="AD100" s="143"/>
      <c r="AE100" s="143"/>
      <c r="AF100" s="143"/>
      <c r="AG100" s="143" t="s">
        <v>111</v>
      </c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</row>
    <row r="101" spans="1:60" ht="23.45" customHeight="1" outlineLevel="1" x14ac:dyDescent="0.2">
      <c r="A101" s="193"/>
      <c r="B101" s="190"/>
      <c r="C101" s="300" t="s">
        <v>127</v>
      </c>
      <c r="D101" s="301"/>
      <c r="E101" s="301"/>
      <c r="F101" s="301"/>
      <c r="G101" s="301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3"/>
      <c r="Z101" s="143"/>
      <c r="AA101" s="143"/>
      <c r="AB101" s="143"/>
      <c r="AC101" s="143"/>
      <c r="AD101" s="143"/>
      <c r="AE101" s="143"/>
      <c r="AF101" s="143"/>
      <c r="AG101" s="143" t="s">
        <v>93</v>
      </c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</row>
    <row r="102" spans="1:60" ht="12.75" customHeight="1" outlineLevel="1" x14ac:dyDescent="0.2">
      <c r="A102" s="193"/>
      <c r="B102" s="190"/>
      <c r="C102" s="195"/>
      <c r="D102" s="196"/>
      <c r="E102" s="196"/>
      <c r="F102" s="196"/>
      <c r="G102" s="19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</row>
    <row r="103" spans="1:60" ht="13.15" customHeight="1" outlineLevel="1" x14ac:dyDescent="0.2">
      <c r="A103" s="182">
        <v>35</v>
      </c>
      <c r="B103" s="191" t="s">
        <v>237</v>
      </c>
      <c r="C103" s="192" t="s">
        <v>188</v>
      </c>
      <c r="D103" s="183" t="s">
        <v>98</v>
      </c>
      <c r="E103" s="175">
        <v>205</v>
      </c>
      <c r="F103" s="194"/>
      <c r="G103" s="184">
        <f>ROUND(E103*F103,2)</f>
        <v>0</v>
      </c>
      <c r="H103" s="146"/>
      <c r="I103" s="146"/>
      <c r="J103" s="146"/>
      <c r="K103" s="146"/>
      <c r="L103" s="184">
        <v>21</v>
      </c>
      <c r="M103" s="184">
        <f>G103*(1+L103/100)</f>
        <v>0</v>
      </c>
      <c r="N103" s="184">
        <v>0.17599999999999999</v>
      </c>
      <c r="O103" s="184">
        <f>ROUND(E103*N103,2)</f>
        <v>36.08</v>
      </c>
      <c r="P103" s="184">
        <v>0</v>
      </c>
      <c r="Q103" s="184">
        <f>ROUND(E103*P103,2)</f>
        <v>0</v>
      </c>
      <c r="R103" s="184" t="s">
        <v>94</v>
      </c>
      <c r="S103" s="184" t="s">
        <v>324</v>
      </c>
      <c r="T103" s="184" t="s">
        <v>324</v>
      </c>
      <c r="U103" s="146"/>
      <c r="V103" s="146"/>
      <c r="W103" s="146"/>
      <c r="X103" s="146"/>
      <c r="Y103" s="143"/>
      <c r="Z103" s="143"/>
      <c r="AA103" s="143"/>
      <c r="AB103" s="143"/>
      <c r="AC103" s="143"/>
      <c r="AD103" s="143"/>
      <c r="AE103" s="143"/>
      <c r="AF103" s="143"/>
      <c r="AG103" s="143" t="s">
        <v>112</v>
      </c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54" t="str">
        <f>C103</f>
        <v xml:space="preserve">dlažba betonová, zámková; přírodní šedá, tl. 60 mm </v>
      </c>
      <c r="BB103" s="143"/>
      <c r="BC103" s="143"/>
      <c r="BD103" s="143"/>
      <c r="BE103" s="143"/>
      <c r="BF103" s="143"/>
      <c r="BG103" s="143"/>
      <c r="BH103" s="143"/>
    </row>
    <row r="104" spans="1:60" outlineLevel="1" x14ac:dyDescent="0.2">
      <c r="A104" s="193"/>
      <c r="B104" s="190"/>
      <c r="C104" s="302"/>
      <c r="D104" s="303"/>
      <c r="E104" s="303"/>
      <c r="F104" s="303"/>
      <c r="G104" s="303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3"/>
      <c r="Z104" s="143"/>
      <c r="AA104" s="143"/>
      <c r="AB104" s="143"/>
      <c r="AC104" s="143"/>
      <c r="AD104" s="143"/>
      <c r="AE104" s="143"/>
      <c r="AF104" s="143"/>
      <c r="AG104" s="143" t="s">
        <v>93</v>
      </c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</row>
    <row r="105" spans="1:60" outlineLevel="1" x14ac:dyDescent="0.2">
      <c r="A105" s="182">
        <v>36</v>
      </c>
      <c r="B105" s="191" t="s">
        <v>238</v>
      </c>
      <c r="C105" s="192" t="s">
        <v>189</v>
      </c>
      <c r="D105" s="183" t="s">
        <v>98</v>
      </c>
      <c r="E105" s="175">
        <f>17*0.4</f>
        <v>6.8000000000000007</v>
      </c>
      <c r="F105" s="194"/>
      <c r="G105" s="184">
        <f>ROUND(E105*F105,2)</f>
        <v>0</v>
      </c>
      <c r="H105" s="146"/>
      <c r="I105" s="146"/>
      <c r="J105" s="146"/>
      <c r="K105" s="146"/>
      <c r="L105" s="184">
        <v>21</v>
      </c>
      <c r="M105" s="184">
        <f>G105*(1+L105/100)</f>
        <v>0</v>
      </c>
      <c r="N105" s="184">
        <v>0.17599999999999999</v>
      </c>
      <c r="O105" s="184">
        <f>ROUND(E105*N105,2)</f>
        <v>1.2</v>
      </c>
      <c r="P105" s="184">
        <v>0</v>
      </c>
      <c r="Q105" s="184">
        <f>ROUND(E105*P105,2)</f>
        <v>0</v>
      </c>
      <c r="R105" s="184" t="s">
        <v>94</v>
      </c>
      <c r="S105" s="184" t="s">
        <v>324</v>
      </c>
      <c r="T105" s="184" t="s">
        <v>324</v>
      </c>
      <c r="U105" s="146"/>
      <c r="V105" s="146"/>
      <c r="W105" s="146"/>
      <c r="X105" s="146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</row>
    <row r="106" spans="1:60" ht="13.15" customHeight="1" outlineLevel="1" x14ac:dyDescent="0.2">
      <c r="A106" s="193"/>
      <c r="B106" s="190"/>
      <c r="C106" s="197"/>
      <c r="D106" s="198"/>
      <c r="E106" s="198"/>
      <c r="F106" s="198"/>
      <c r="G106" s="198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84"/>
      <c r="T106" s="184"/>
      <c r="U106" s="146"/>
      <c r="V106" s="146"/>
      <c r="W106" s="146"/>
      <c r="X106" s="146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</row>
    <row r="107" spans="1:60" outlineLevel="1" x14ac:dyDescent="0.2">
      <c r="A107" s="148" t="s">
        <v>91</v>
      </c>
      <c r="B107" s="149" t="s">
        <v>287</v>
      </c>
      <c r="C107" s="156" t="s">
        <v>288</v>
      </c>
      <c r="D107" s="150"/>
      <c r="E107" s="151"/>
      <c r="F107" s="152"/>
      <c r="G107" s="152">
        <f>SUMIF(AG108:AG136,"&lt;&gt;NOR",G108:G136)</f>
        <v>0</v>
      </c>
      <c r="H107" s="152"/>
      <c r="I107" s="152">
        <f>SUM(I108:I134)</f>
        <v>7305616.6299999999</v>
      </c>
      <c r="J107" s="152"/>
      <c r="K107" s="152">
        <f>SUM(K108:K134)</f>
        <v>1850379.3699999999</v>
      </c>
      <c r="L107" s="152"/>
      <c r="M107" s="152">
        <f>SUM(M108:M136)</f>
        <v>0</v>
      </c>
      <c r="N107" s="152"/>
      <c r="O107" s="152">
        <f>SUM(O108:O134)</f>
        <v>1537.23</v>
      </c>
      <c r="P107" s="152"/>
      <c r="Q107" s="152">
        <f>SUM(Q108:Q134)</f>
        <v>0</v>
      </c>
      <c r="R107" s="152"/>
      <c r="S107" s="152"/>
      <c r="T107" s="153"/>
      <c r="U107" s="146"/>
      <c r="V107" s="146"/>
      <c r="W107" s="146"/>
      <c r="X107" s="146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</row>
    <row r="108" spans="1:60" ht="22.5" outlineLevel="1" x14ac:dyDescent="0.2">
      <c r="A108" s="182">
        <v>37</v>
      </c>
      <c r="B108" s="191" t="s">
        <v>301</v>
      </c>
      <c r="C108" s="192" t="s">
        <v>294</v>
      </c>
      <c r="D108" s="183" t="s">
        <v>113</v>
      </c>
      <c r="E108" s="175">
        <f>E111</f>
        <v>83</v>
      </c>
      <c r="F108" s="194"/>
      <c r="G108" s="184">
        <f>ROUND(E108*F108,2)</f>
        <v>0</v>
      </c>
      <c r="H108" s="194">
        <v>14.25</v>
      </c>
      <c r="I108" s="184">
        <f>ROUND(E108*H108,2)</f>
        <v>1182.75</v>
      </c>
      <c r="J108" s="194">
        <v>58.95</v>
      </c>
      <c r="K108" s="184">
        <f>ROUND(E108*J108,2)</f>
        <v>4892.8500000000004</v>
      </c>
      <c r="L108" s="184">
        <v>21</v>
      </c>
      <c r="M108" s="184">
        <f>G108*(1+L108/100)</f>
        <v>0</v>
      </c>
      <c r="N108" s="184">
        <v>0</v>
      </c>
      <c r="O108" s="184">
        <f>ROUND(E108*N108,2)</f>
        <v>0</v>
      </c>
      <c r="P108" s="184">
        <v>0</v>
      </c>
      <c r="Q108" s="184">
        <f>ROUND(E108*P108,2)</f>
        <v>0</v>
      </c>
      <c r="R108" s="184" t="s">
        <v>195</v>
      </c>
      <c r="S108" s="184" t="s">
        <v>324</v>
      </c>
      <c r="T108" s="184" t="s">
        <v>324</v>
      </c>
      <c r="U108" s="146"/>
      <c r="V108" s="146"/>
      <c r="W108" s="146"/>
      <c r="X108" s="146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</row>
    <row r="109" spans="1:60" outlineLevel="1" x14ac:dyDescent="0.2">
      <c r="A109" s="193"/>
      <c r="B109" s="190"/>
      <c r="C109" s="300" t="s">
        <v>292</v>
      </c>
      <c r="D109" s="301"/>
      <c r="E109" s="301"/>
      <c r="F109" s="301"/>
      <c r="G109" s="301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</row>
    <row r="110" spans="1:60" outlineLevel="1" x14ac:dyDescent="0.2">
      <c r="A110" s="193"/>
      <c r="B110" s="190"/>
      <c r="C110" s="305"/>
      <c r="D110" s="306"/>
      <c r="E110" s="306"/>
      <c r="F110" s="306"/>
      <c r="G110" s="30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</row>
    <row r="111" spans="1:60" outlineLevel="1" x14ac:dyDescent="0.2">
      <c r="A111" s="182">
        <v>38</v>
      </c>
      <c r="B111" s="191" t="s">
        <v>300</v>
      </c>
      <c r="C111" s="192" t="s">
        <v>296</v>
      </c>
      <c r="D111" s="183" t="s">
        <v>113</v>
      </c>
      <c r="E111" s="175">
        <v>83</v>
      </c>
      <c r="F111" s="194"/>
      <c r="G111" s="184">
        <f>ROUND(E111*F111,2)</f>
        <v>0</v>
      </c>
      <c r="H111" s="194">
        <v>181.11</v>
      </c>
      <c r="I111" s="184">
        <f>ROUND(E111*H111,2)</f>
        <v>15032.13</v>
      </c>
      <c r="J111" s="194">
        <v>133.88999999999999</v>
      </c>
      <c r="K111" s="184">
        <f>ROUND(E111*J111,2)</f>
        <v>11112.87</v>
      </c>
      <c r="L111" s="184">
        <v>21</v>
      </c>
      <c r="M111" s="184">
        <f>G111*(1+L111/100)</f>
        <v>0</v>
      </c>
      <c r="N111" s="184">
        <v>5.2399999999999999E-3</v>
      </c>
      <c r="O111" s="184">
        <f>ROUND(E111*N111,2)</f>
        <v>0.43</v>
      </c>
      <c r="P111" s="184">
        <v>0</v>
      </c>
      <c r="Q111" s="184">
        <f>ROUND(E111*P111,2)</f>
        <v>0</v>
      </c>
      <c r="R111" s="184" t="s">
        <v>114</v>
      </c>
      <c r="S111" s="184" t="s">
        <v>324</v>
      </c>
      <c r="T111" s="184" t="s">
        <v>324</v>
      </c>
      <c r="U111" s="146"/>
      <c r="V111" s="146"/>
      <c r="W111" s="146"/>
      <c r="X111" s="146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</row>
    <row r="112" spans="1:60" outlineLevel="1" x14ac:dyDescent="0.2">
      <c r="A112" s="193"/>
      <c r="B112" s="190"/>
      <c r="C112" s="300" t="s">
        <v>295</v>
      </c>
      <c r="D112" s="301"/>
      <c r="E112" s="301"/>
      <c r="F112" s="301"/>
      <c r="G112" s="301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</row>
    <row r="113" spans="1:60" outlineLevel="1" x14ac:dyDescent="0.2">
      <c r="A113" s="193"/>
      <c r="B113" s="190"/>
      <c r="C113" s="305"/>
      <c r="D113" s="306"/>
      <c r="E113" s="306"/>
      <c r="F113" s="306"/>
      <c r="G113" s="30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</row>
    <row r="114" spans="1:60" outlineLevel="1" x14ac:dyDescent="0.2">
      <c r="A114" s="182">
        <v>39</v>
      </c>
      <c r="B114" s="191" t="s">
        <v>313</v>
      </c>
      <c r="C114" s="192" t="s">
        <v>312</v>
      </c>
      <c r="D114" s="183" t="s">
        <v>95</v>
      </c>
      <c r="E114" s="175">
        <v>5</v>
      </c>
      <c r="F114" s="194"/>
      <c r="G114" s="184">
        <f>ROUND(E114*F114,2)</f>
        <v>0</v>
      </c>
      <c r="H114" s="194">
        <v>181.11</v>
      </c>
      <c r="I114" s="184">
        <f>ROUND(E114*H114,2)</f>
        <v>905.55</v>
      </c>
      <c r="J114" s="194">
        <v>133.88999999999999</v>
      </c>
      <c r="K114" s="184">
        <f>ROUND(E114*J114,2)</f>
        <v>669.45</v>
      </c>
      <c r="L114" s="184">
        <v>21</v>
      </c>
      <c r="M114" s="184">
        <f>G114*(1+L114/100)</f>
        <v>0</v>
      </c>
      <c r="N114" s="184">
        <v>5.2399999999999999E-3</v>
      </c>
      <c r="O114" s="184">
        <f>ROUND(E114*N114,2)</f>
        <v>0.03</v>
      </c>
      <c r="P114" s="184">
        <v>0</v>
      </c>
      <c r="Q114" s="184">
        <f>ROUND(E114*P114,2)</f>
        <v>0</v>
      </c>
      <c r="R114" s="184" t="s">
        <v>114</v>
      </c>
      <c r="S114" s="184" t="s">
        <v>324</v>
      </c>
      <c r="T114" s="184" t="s">
        <v>101</v>
      </c>
      <c r="U114" s="146"/>
      <c r="V114" s="146"/>
      <c r="W114" s="146"/>
      <c r="X114" s="146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</row>
    <row r="115" spans="1:60" outlineLevel="1" x14ac:dyDescent="0.2">
      <c r="A115" s="193"/>
      <c r="B115" s="190"/>
      <c r="C115" s="300" t="s">
        <v>297</v>
      </c>
      <c r="D115" s="301"/>
      <c r="E115" s="301"/>
      <c r="F115" s="301"/>
      <c r="G115" s="301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</row>
    <row r="116" spans="1:60" outlineLevel="1" x14ac:dyDescent="0.2">
      <c r="A116" s="193"/>
      <c r="B116" s="190"/>
      <c r="C116" s="195"/>
      <c r="D116" s="196"/>
      <c r="E116" s="196"/>
      <c r="F116" s="196"/>
      <c r="G116" s="19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</row>
    <row r="117" spans="1:60" outlineLevel="1" x14ac:dyDescent="0.2">
      <c r="A117" s="182">
        <v>40</v>
      </c>
      <c r="B117" s="191" t="s">
        <v>302</v>
      </c>
      <c r="C117" s="192" t="s">
        <v>298</v>
      </c>
      <c r="D117" s="183" t="s">
        <v>95</v>
      </c>
      <c r="E117" s="175">
        <v>4</v>
      </c>
      <c r="F117" s="194"/>
      <c r="G117" s="184">
        <f>ROUND(E117*F117,2)</f>
        <v>0</v>
      </c>
      <c r="H117" s="194">
        <v>336.4</v>
      </c>
      <c r="I117" s="184">
        <f>ROUND(E117*H117,2)</f>
        <v>1345.6</v>
      </c>
      <c r="J117" s="194">
        <v>193.6</v>
      </c>
      <c r="K117" s="184">
        <f>ROUND(E117*J117,2)</f>
        <v>774.4</v>
      </c>
      <c r="L117" s="184">
        <v>21</v>
      </c>
      <c r="M117" s="184">
        <f>G117*(1+L117/100)</f>
        <v>0</v>
      </c>
      <c r="N117" s="184">
        <v>7.62E-3</v>
      </c>
      <c r="O117" s="184">
        <f>ROUND(E117*N117,2)</f>
        <v>0.03</v>
      </c>
      <c r="P117" s="184">
        <v>0</v>
      </c>
      <c r="Q117" s="184">
        <f>ROUND(E117*P117,2)</f>
        <v>0</v>
      </c>
      <c r="R117" s="184" t="s">
        <v>114</v>
      </c>
      <c r="S117" s="184" t="s">
        <v>324</v>
      </c>
      <c r="T117" s="184" t="s">
        <v>101</v>
      </c>
      <c r="U117" s="146"/>
      <c r="V117" s="146"/>
      <c r="W117" s="146"/>
      <c r="X117" s="146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</row>
    <row r="118" spans="1:60" outlineLevel="1" x14ac:dyDescent="0.2">
      <c r="A118" s="193"/>
      <c r="B118" s="190"/>
      <c r="C118" s="300" t="s">
        <v>299</v>
      </c>
      <c r="D118" s="301"/>
      <c r="E118" s="301"/>
      <c r="F118" s="301"/>
      <c r="G118" s="301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</row>
    <row r="119" spans="1:60" outlineLevel="1" x14ac:dyDescent="0.2">
      <c r="A119" s="193"/>
      <c r="B119" s="190"/>
      <c r="C119" s="305"/>
      <c r="D119" s="306"/>
      <c r="E119" s="306"/>
      <c r="F119" s="306"/>
      <c r="G119" s="30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</row>
    <row r="120" spans="1:60" outlineLevel="1" x14ac:dyDescent="0.2">
      <c r="A120" s="182">
        <v>41</v>
      </c>
      <c r="B120" s="191" t="s">
        <v>384</v>
      </c>
      <c r="C120" s="192" t="s">
        <v>385</v>
      </c>
      <c r="D120" s="183" t="s">
        <v>95</v>
      </c>
      <c r="E120" s="175">
        <v>2</v>
      </c>
      <c r="F120" s="194"/>
      <c r="G120" s="184">
        <f>ROUND(E120*F120,2)</f>
        <v>0</v>
      </c>
      <c r="H120" s="194">
        <v>336.4</v>
      </c>
      <c r="I120" s="184">
        <f>ROUND(E120*H120,2)</f>
        <v>672.8</v>
      </c>
      <c r="J120" s="194">
        <v>193.6</v>
      </c>
      <c r="K120" s="184">
        <f>ROUND(E120*J120,2)</f>
        <v>387.2</v>
      </c>
      <c r="L120" s="184">
        <v>21</v>
      </c>
      <c r="M120" s="184">
        <f>G120*(1+L120/100)</f>
        <v>0</v>
      </c>
      <c r="N120" s="184">
        <v>7.62E-3</v>
      </c>
      <c r="O120" s="184">
        <f>ROUND(E120*N120,2)</f>
        <v>0.02</v>
      </c>
      <c r="P120" s="184">
        <v>0</v>
      </c>
      <c r="Q120" s="184">
        <f>ROUND(E120*P120,2)</f>
        <v>0</v>
      </c>
      <c r="R120" s="184" t="s">
        <v>114</v>
      </c>
      <c r="S120" s="184" t="s">
        <v>324</v>
      </c>
      <c r="T120" s="184" t="s">
        <v>101</v>
      </c>
      <c r="U120" s="146"/>
      <c r="V120" s="146"/>
      <c r="W120" s="146"/>
      <c r="X120" s="146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</row>
    <row r="121" spans="1:60" outlineLevel="1" x14ac:dyDescent="0.2">
      <c r="A121" s="193"/>
      <c r="B121" s="190"/>
      <c r="C121" s="300" t="s">
        <v>299</v>
      </c>
      <c r="D121" s="301"/>
      <c r="E121" s="301"/>
      <c r="F121" s="301"/>
      <c r="G121" s="301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</row>
    <row r="122" spans="1:60" outlineLevel="1" x14ac:dyDescent="0.2">
      <c r="A122" s="193"/>
      <c r="B122" s="190"/>
      <c r="C122" s="195"/>
      <c r="D122" s="196"/>
      <c r="E122" s="196"/>
      <c r="F122" s="196"/>
      <c r="G122" s="19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</row>
    <row r="123" spans="1:60" outlineLevel="1" x14ac:dyDescent="0.2">
      <c r="A123" s="182">
        <v>42</v>
      </c>
      <c r="B123" s="191" t="s">
        <v>314</v>
      </c>
      <c r="C123" s="192" t="s">
        <v>316</v>
      </c>
      <c r="D123" s="183" t="s">
        <v>95</v>
      </c>
      <c r="E123" s="175">
        <v>1</v>
      </c>
      <c r="F123" s="194"/>
      <c r="G123" s="184">
        <f>ROUND(E123*F123,2)</f>
        <v>0</v>
      </c>
      <c r="H123" s="194">
        <v>336.4</v>
      </c>
      <c r="I123" s="184">
        <f>ROUND(E123*H123,2)</f>
        <v>336.4</v>
      </c>
      <c r="J123" s="194">
        <v>193.6</v>
      </c>
      <c r="K123" s="184">
        <f>ROUND(E123*J123,2)</f>
        <v>193.6</v>
      </c>
      <c r="L123" s="184">
        <v>21</v>
      </c>
      <c r="M123" s="184">
        <f>G123*(1+L123/100)</f>
        <v>0</v>
      </c>
      <c r="N123" s="184">
        <v>7.62E-3</v>
      </c>
      <c r="O123" s="184">
        <f>ROUND(E123*N123,2)</f>
        <v>0.01</v>
      </c>
      <c r="P123" s="184">
        <v>0</v>
      </c>
      <c r="Q123" s="184">
        <f>ROUND(E123*P123,2)</f>
        <v>0</v>
      </c>
      <c r="R123" s="184" t="s">
        <v>114</v>
      </c>
      <c r="S123" s="184" t="s">
        <v>324</v>
      </c>
      <c r="T123" s="184" t="s">
        <v>101</v>
      </c>
      <c r="U123" s="146"/>
      <c r="V123" s="146"/>
      <c r="W123" s="146"/>
      <c r="X123" s="146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</row>
    <row r="124" spans="1:60" outlineLevel="1" x14ac:dyDescent="0.2">
      <c r="A124" s="193"/>
      <c r="B124" s="190"/>
      <c r="C124" s="300" t="s">
        <v>317</v>
      </c>
      <c r="D124" s="301"/>
      <c r="E124" s="301"/>
      <c r="F124" s="301"/>
      <c r="G124" s="301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</row>
    <row r="125" spans="1:60" outlineLevel="1" x14ac:dyDescent="0.2">
      <c r="A125" s="193"/>
      <c r="B125" s="190"/>
      <c r="C125" s="195"/>
      <c r="D125" s="196"/>
      <c r="E125" s="196"/>
      <c r="F125" s="196"/>
      <c r="G125" s="19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</row>
    <row r="126" spans="1:60" outlineLevel="1" x14ac:dyDescent="0.2">
      <c r="A126" s="182">
        <v>43</v>
      </c>
      <c r="B126" s="191" t="s">
        <v>315</v>
      </c>
      <c r="C126" s="192" t="s">
        <v>318</v>
      </c>
      <c r="D126" s="183" t="s">
        <v>95</v>
      </c>
      <c r="E126" s="175">
        <v>5</v>
      </c>
      <c r="F126" s="194"/>
      <c r="G126" s="184">
        <f>ROUND(E126*F126,2)</f>
        <v>0</v>
      </c>
      <c r="H126" s="194">
        <v>336.4</v>
      </c>
      <c r="I126" s="184">
        <f>ROUND(E126*H126,2)</f>
        <v>1682</v>
      </c>
      <c r="J126" s="194">
        <v>193.6</v>
      </c>
      <c r="K126" s="184">
        <f>ROUND(E126*J126,2)</f>
        <v>968</v>
      </c>
      <c r="L126" s="184">
        <v>21</v>
      </c>
      <c r="M126" s="184">
        <f>G126*(1+L126/100)</f>
        <v>0</v>
      </c>
      <c r="N126" s="184">
        <v>7.62E-3</v>
      </c>
      <c r="O126" s="184">
        <f>ROUND(E126*N126,2)</f>
        <v>0.04</v>
      </c>
      <c r="P126" s="184">
        <v>0</v>
      </c>
      <c r="Q126" s="184">
        <f>ROUND(E126*P126,2)</f>
        <v>0</v>
      </c>
      <c r="R126" s="184" t="s">
        <v>114</v>
      </c>
      <c r="S126" s="184" t="s">
        <v>324</v>
      </c>
      <c r="T126" s="184" t="s">
        <v>101</v>
      </c>
      <c r="U126" s="146"/>
      <c r="V126" s="146"/>
      <c r="W126" s="146"/>
      <c r="X126" s="146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</row>
    <row r="127" spans="1:60" outlineLevel="1" x14ac:dyDescent="0.2">
      <c r="A127" s="193"/>
      <c r="B127" s="190"/>
      <c r="C127" s="300" t="s">
        <v>317</v>
      </c>
      <c r="D127" s="301"/>
      <c r="E127" s="301"/>
      <c r="F127" s="301"/>
      <c r="G127" s="301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</row>
    <row r="128" spans="1:60" outlineLevel="1" x14ac:dyDescent="0.2">
      <c r="A128" s="193"/>
      <c r="B128" s="190"/>
      <c r="C128" s="195"/>
      <c r="D128" s="196"/>
      <c r="E128" s="196"/>
      <c r="F128" s="196"/>
      <c r="G128" s="19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</row>
    <row r="129" spans="1:60" outlineLevel="1" x14ac:dyDescent="0.2">
      <c r="A129" s="182">
        <v>44</v>
      </c>
      <c r="B129" s="191" t="s">
        <v>320</v>
      </c>
      <c r="C129" s="192" t="s">
        <v>321</v>
      </c>
      <c r="D129" s="183" t="s">
        <v>322</v>
      </c>
      <c r="E129" s="175">
        <v>1</v>
      </c>
      <c r="F129" s="194"/>
      <c r="G129" s="184">
        <f>ROUND(E129*F129,2)</f>
        <v>0</v>
      </c>
      <c r="H129" s="194">
        <v>336.4</v>
      </c>
      <c r="I129" s="184">
        <f>ROUND(E129*H129,2)</f>
        <v>336.4</v>
      </c>
      <c r="J129" s="194">
        <v>193.6</v>
      </c>
      <c r="K129" s="184">
        <f>ROUND(E129*J129,2)</f>
        <v>193.6</v>
      </c>
      <c r="L129" s="184">
        <v>21</v>
      </c>
      <c r="M129" s="184">
        <f>G129*(1+L129/100)</f>
        <v>0</v>
      </c>
      <c r="N129" s="184">
        <v>7.62E-3</v>
      </c>
      <c r="O129" s="184">
        <f>ROUND(E129*N129,2)</f>
        <v>0.01</v>
      </c>
      <c r="P129" s="184">
        <v>0</v>
      </c>
      <c r="Q129" s="184">
        <f>ROUND(E129*P129,2)</f>
        <v>0</v>
      </c>
      <c r="R129" s="184" t="s">
        <v>114</v>
      </c>
      <c r="S129" s="184" t="s">
        <v>324</v>
      </c>
      <c r="T129" s="184" t="s">
        <v>101</v>
      </c>
      <c r="U129" s="146"/>
      <c r="V129" s="146"/>
      <c r="W129" s="146"/>
      <c r="X129" s="146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</row>
    <row r="130" spans="1:60" outlineLevel="1" x14ac:dyDescent="0.2">
      <c r="A130" s="193"/>
      <c r="B130" s="190"/>
      <c r="C130" s="300" t="s">
        <v>323</v>
      </c>
      <c r="D130" s="301"/>
      <c r="E130" s="301"/>
      <c r="F130" s="301"/>
      <c r="G130" s="301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</row>
    <row r="131" spans="1:60" outlineLevel="1" x14ac:dyDescent="0.2">
      <c r="A131" s="193"/>
      <c r="B131" s="190"/>
      <c r="C131" s="195"/>
      <c r="D131" s="196"/>
      <c r="E131" s="196"/>
      <c r="F131" s="196"/>
      <c r="G131" s="19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</row>
    <row r="132" spans="1:60" outlineLevel="1" x14ac:dyDescent="0.2">
      <c r="A132" s="182">
        <v>45</v>
      </c>
      <c r="B132" s="191" t="s">
        <v>303</v>
      </c>
      <c r="C132" s="192" t="s">
        <v>304</v>
      </c>
      <c r="D132" s="183" t="s">
        <v>113</v>
      </c>
      <c r="E132" s="175">
        <v>420</v>
      </c>
      <c r="F132" s="194"/>
      <c r="G132" s="184">
        <f>ROUND(E132*F132,2)</f>
        <v>0</v>
      </c>
      <c r="H132" s="194">
        <v>17343.150000000001</v>
      </c>
      <c r="I132" s="184">
        <f>ROUND(E132*H132,2)</f>
        <v>7284123</v>
      </c>
      <c r="J132" s="194">
        <v>4359.97</v>
      </c>
      <c r="K132" s="184">
        <f>ROUND(E132*J132,2)</f>
        <v>1831187.4</v>
      </c>
      <c r="L132" s="184">
        <v>21</v>
      </c>
      <c r="M132" s="184">
        <f>G132*(1+L132/100)</f>
        <v>0</v>
      </c>
      <c r="N132" s="184">
        <v>3.6587100000000001</v>
      </c>
      <c r="O132" s="184">
        <f>ROUND(E132*N132,2)</f>
        <v>1536.66</v>
      </c>
      <c r="P132" s="184">
        <v>0</v>
      </c>
      <c r="Q132" s="184">
        <f>ROUND(E132*P132,2)</f>
        <v>0</v>
      </c>
      <c r="R132" s="184" t="s">
        <v>293</v>
      </c>
      <c r="S132" s="184" t="s">
        <v>324</v>
      </c>
      <c r="T132" s="184" t="s">
        <v>324</v>
      </c>
      <c r="U132" s="146"/>
      <c r="V132" s="146"/>
      <c r="W132" s="146"/>
      <c r="X132" s="146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</row>
    <row r="133" spans="1:60" outlineLevel="1" x14ac:dyDescent="0.2">
      <c r="A133" s="193"/>
      <c r="B133" s="190"/>
      <c r="C133" s="300" t="s">
        <v>305</v>
      </c>
      <c r="D133" s="301"/>
      <c r="E133" s="301"/>
      <c r="F133" s="301"/>
      <c r="G133" s="301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</row>
    <row r="134" spans="1:60" outlineLevel="1" x14ac:dyDescent="0.2">
      <c r="A134" s="193"/>
      <c r="B134" s="190"/>
      <c r="C134" s="305"/>
      <c r="D134" s="306"/>
      <c r="E134" s="306"/>
      <c r="F134" s="306"/>
      <c r="G134" s="30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</row>
    <row r="135" spans="1:60" outlineLevel="1" x14ac:dyDescent="0.2">
      <c r="A135" s="182">
        <v>46</v>
      </c>
      <c r="B135" s="191" t="s">
        <v>311</v>
      </c>
      <c r="C135" s="192" t="s">
        <v>310</v>
      </c>
      <c r="D135" s="183" t="s">
        <v>113</v>
      </c>
      <c r="E135" s="175">
        <v>420</v>
      </c>
      <c r="F135" s="194"/>
      <c r="G135" s="184">
        <f>ROUND(E135*F135,2)</f>
        <v>0</v>
      </c>
      <c r="H135" s="194">
        <v>17343.150000000001</v>
      </c>
      <c r="I135" s="184">
        <f>ROUND(E135*H135,2)</f>
        <v>7284123</v>
      </c>
      <c r="J135" s="194">
        <v>4359.97</v>
      </c>
      <c r="K135" s="184">
        <f>ROUND(E135*J135,2)</f>
        <v>1831187.4</v>
      </c>
      <c r="L135" s="184">
        <v>21</v>
      </c>
      <c r="M135" s="184">
        <f>G135*(1+L135/100)</f>
        <v>0</v>
      </c>
      <c r="N135" s="184">
        <v>3.6587100000000001</v>
      </c>
      <c r="O135" s="184">
        <f>ROUND(E135*N135,2)</f>
        <v>1536.66</v>
      </c>
      <c r="P135" s="184">
        <v>0</v>
      </c>
      <c r="Q135" s="184">
        <f>ROUND(E135*P135,2)</f>
        <v>0</v>
      </c>
      <c r="R135" s="184" t="s">
        <v>293</v>
      </c>
      <c r="S135" s="184" t="s">
        <v>324</v>
      </c>
      <c r="T135" s="184" t="s">
        <v>101</v>
      </c>
      <c r="U135" s="146"/>
      <c r="V135" s="146"/>
      <c r="W135" s="146"/>
      <c r="X135" s="146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</row>
    <row r="136" spans="1:60" outlineLevel="1" x14ac:dyDescent="0.2">
      <c r="A136" s="193"/>
      <c r="B136" s="190"/>
      <c r="C136" s="195"/>
      <c r="D136" s="196"/>
      <c r="E136" s="196"/>
      <c r="F136" s="196"/>
      <c r="G136" s="19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</row>
    <row r="137" spans="1:60" outlineLevel="1" x14ac:dyDescent="0.2">
      <c r="A137" s="148" t="s">
        <v>91</v>
      </c>
      <c r="B137" s="149" t="s">
        <v>56</v>
      </c>
      <c r="C137" s="156" t="s">
        <v>57</v>
      </c>
      <c r="D137" s="150"/>
      <c r="E137" s="151"/>
      <c r="F137" s="152"/>
      <c r="G137" s="152">
        <f>G138+G141+G144+G147+G150+G153+G156+G158+G160+G162+G164+G167</f>
        <v>0</v>
      </c>
      <c r="H137" s="152"/>
      <c r="I137" s="152">
        <f>SUM(I150:I169)</f>
        <v>209156.9</v>
      </c>
      <c r="J137" s="152"/>
      <c r="K137" s="152">
        <f>SUM(K150:K169)</f>
        <v>61556.7</v>
      </c>
      <c r="L137" s="152"/>
      <c r="M137" s="152">
        <f>M138+M141+M144+M147+M150+M153+M156+M158+M160+M162+M164+M167</f>
        <v>0</v>
      </c>
      <c r="N137" s="152"/>
      <c r="O137" s="152">
        <f>SUM(O150:O169)</f>
        <v>148.01</v>
      </c>
      <c r="P137" s="152"/>
      <c r="Q137" s="152">
        <f>SUM(Q150:Q169)</f>
        <v>0</v>
      </c>
      <c r="R137" s="152"/>
      <c r="S137" s="152"/>
      <c r="T137" s="153"/>
      <c r="U137" s="146"/>
      <c r="V137" s="146"/>
      <c r="W137" s="146"/>
      <c r="X137" s="146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</row>
    <row r="138" spans="1:60" outlineLevel="1" x14ac:dyDescent="0.2">
      <c r="A138" s="182">
        <v>47</v>
      </c>
      <c r="B138" s="191" t="s">
        <v>200</v>
      </c>
      <c r="C138" s="192" t="s">
        <v>201</v>
      </c>
      <c r="D138" s="183" t="s">
        <v>95</v>
      </c>
      <c r="E138" s="175">
        <v>1</v>
      </c>
      <c r="F138" s="194"/>
      <c r="G138" s="184">
        <f>ROUND(E138*F138,2)</f>
        <v>0</v>
      </c>
      <c r="H138" s="194">
        <v>339.99</v>
      </c>
      <c r="I138" s="184">
        <f>ROUND(E138*H138,2)</f>
        <v>339.99</v>
      </c>
      <c r="J138" s="194">
        <v>352.01</v>
      </c>
      <c r="K138" s="184">
        <f>ROUND(E138*J138,2)</f>
        <v>352.01</v>
      </c>
      <c r="L138" s="184">
        <v>21</v>
      </c>
      <c r="M138" s="184">
        <f>G138*(1+L138/100)</f>
        <v>0</v>
      </c>
      <c r="N138" s="184">
        <v>0.25080000000000002</v>
      </c>
      <c r="O138" s="184">
        <f>ROUND(E138*N138,2)</f>
        <v>0.25</v>
      </c>
      <c r="P138" s="184">
        <v>0</v>
      </c>
      <c r="Q138" s="184">
        <f>ROUND(E138*P138,2)</f>
        <v>0</v>
      </c>
      <c r="R138" s="184" t="s">
        <v>109</v>
      </c>
      <c r="S138" s="184" t="s">
        <v>324</v>
      </c>
      <c r="T138" s="184" t="s">
        <v>324</v>
      </c>
      <c r="U138" s="146"/>
      <c r="V138" s="146"/>
      <c r="W138" s="146"/>
      <c r="X138" s="146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</row>
    <row r="139" spans="1:60" outlineLevel="1" x14ac:dyDescent="0.2">
      <c r="A139" s="193"/>
      <c r="B139" s="190"/>
      <c r="C139" s="166" t="s">
        <v>249</v>
      </c>
      <c r="D139" s="167"/>
      <c r="E139" s="168"/>
      <c r="F139" s="177"/>
      <c r="G139" s="169"/>
      <c r="H139" s="165"/>
      <c r="I139" s="146"/>
      <c r="J139" s="165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</row>
    <row r="140" spans="1:60" outlineLevel="1" x14ac:dyDescent="0.2">
      <c r="A140" s="193"/>
      <c r="B140" s="190"/>
      <c r="C140" s="305"/>
      <c r="D140" s="306"/>
      <c r="E140" s="306"/>
      <c r="F140" s="306"/>
      <c r="G140" s="30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</row>
    <row r="141" spans="1:60" outlineLevel="1" x14ac:dyDescent="0.2">
      <c r="A141" s="182">
        <v>48</v>
      </c>
      <c r="B141" s="191" t="s">
        <v>190</v>
      </c>
      <c r="C141" s="192" t="s">
        <v>196</v>
      </c>
      <c r="D141" s="183" t="s">
        <v>95</v>
      </c>
      <c r="E141" s="175">
        <v>5</v>
      </c>
      <c r="F141" s="194"/>
      <c r="G141" s="184">
        <f>ROUND(E141*F141,2)</f>
        <v>0</v>
      </c>
      <c r="H141" s="194">
        <v>339.99</v>
      </c>
      <c r="I141" s="184">
        <f>ROUND(E141*H141,2)</f>
        <v>1699.95</v>
      </c>
      <c r="J141" s="194">
        <v>352.01</v>
      </c>
      <c r="K141" s="184">
        <f>ROUND(E141*J141,2)</f>
        <v>1760.05</v>
      </c>
      <c r="L141" s="184">
        <v>21</v>
      </c>
      <c r="M141" s="184">
        <f>G141*(1+L141/100)</f>
        <v>0</v>
      </c>
      <c r="N141" s="184">
        <v>0.25080000000000002</v>
      </c>
      <c r="O141" s="184">
        <f>ROUND(E141*N141,2)</f>
        <v>1.25</v>
      </c>
      <c r="P141" s="184">
        <v>0</v>
      </c>
      <c r="Q141" s="184">
        <f>ROUND(E141*P141,2)</f>
        <v>0</v>
      </c>
      <c r="R141" s="184" t="s">
        <v>109</v>
      </c>
      <c r="S141" s="184" t="s">
        <v>324</v>
      </c>
      <c r="T141" s="184" t="s">
        <v>324</v>
      </c>
      <c r="U141" s="146"/>
      <c r="V141" s="146"/>
      <c r="W141" s="146"/>
      <c r="X141" s="146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</row>
    <row r="142" spans="1:60" x14ac:dyDescent="0.2">
      <c r="A142" s="193"/>
      <c r="B142" s="190"/>
      <c r="C142" s="166" t="s">
        <v>250</v>
      </c>
      <c r="D142" s="167"/>
      <c r="E142" s="168"/>
      <c r="F142" s="177"/>
      <c r="G142" s="169"/>
      <c r="H142" s="165"/>
      <c r="I142" s="146"/>
      <c r="J142" s="165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7"/>
      <c r="V142" s="147">
        <f>SUM(V155:V177)</f>
        <v>0</v>
      </c>
      <c r="W142" s="147"/>
      <c r="X142" s="147"/>
      <c r="AG142" t="s">
        <v>92</v>
      </c>
    </row>
    <row r="143" spans="1:60" x14ac:dyDescent="0.2">
      <c r="A143" s="193"/>
      <c r="B143" s="190"/>
      <c r="C143" s="305"/>
      <c r="D143" s="306"/>
      <c r="E143" s="306"/>
      <c r="F143" s="306"/>
      <c r="G143" s="30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7"/>
      <c r="V143" s="147"/>
      <c r="W143" s="147"/>
      <c r="X143" s="147"/>
    </row>
    <row r="144" spans="1:60" x14ac:dyDescent="0.2">
      <c r="A144" s="182">
        <v>49</v>
      </c>
      <c r="B144" s="191" t="s">
        <v>197</v>
      </c>
      <c r="C144" s="192" t="s">
        <v>199</v>
      </c>
      <c r="D144" s="183" t="s">
        <v>95</v>
      </c>
      <c r="E144" s="175">
        <v>4</v>
      </c>
      <c r="F144" s="194"/>
      <c r="G144" s="184">
        <f>ROUND(E144*F144,2)</f>
        <v>0</v>
      </c>
      <c r="H144" s="185">
        <v>339.99</v>
      </c>
      <c r="I144" s="184">
        <f>ROUND(E144*H144,2)</f>
        <v>1359.96</v>
      </c>
      <c r="J144" s="185">
        <v>352.01</v>
      </c>
      <c r="K144" s="184">
        <f>ROUND(E144*J144,2)</f>
        <v>1408.04</v>
      </c>
      <c r="L144" s="184">
        <v>21</v>
      </c>
      <c r="M144" s="184">
        <f>G144*(1+L144/100)</f>
        <v>0</v>
      </c>
      <c r="N144" s="184">
        <v>0.25080000000000002</v>
      </c>
      <c r="O144" s="184">
        <f>ROUND(E144*N144,2)</f>
        <v>1</v>
      </c>
      <c r="P144" s="184">
        <v>0</v>
      </c>
      <c r="Q144" s="184">
        <f>ROUND(E144*P144,2)</f>
        <v>0</v>
      </c>
      <c r="R144" s="184" t="s">
        <v>109</v>
      </c>
      <c r="S144" s="184" t="s">
        <v>324</v>
      </c>
      <c r="T144" s="184" t="s">
        <v>324</v>
      </c>
      <c r="U144" s="147"/>
      <c r="V144" s="147"/>
      <c r="W144" s="147"/>
      <c r="X144" s="147"/>
    </row>
    <row r="145" spans="1:60" x14ac:dyDescent="0.2">
      <c r="A145" s="193"/>
      <c r="B145" s="190"/>
      <c r="C145" s="187" t="s">
        <v>239</v>
      </c>
      <c r="D145" s="188"/>
      <c r="E145" s="189"/>
      <c r="F145" s="165"/>
      <c r="G145" s="146"/>
      <c r="H145" s="200"/>
      <c r="I145" s="146"/>
      <c r="J145" s="200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7"/>
      <c r="V145" s="147"/>
      <c r="W145" s="147"/>
      <c r="X145" s="147"/>
    </row>
    <row r="146" spans="1:60" x14ac:dyDescent="0.2">
      <c r="A146" s="193"/>
      <c r="B146" s="190"/>
      <c r="C146" s="195"/>
      <c r="D146" s="196"/>
      <c r="E146" s="196"/>
      <c r="F146" s="196"/>
      <c r="G146" s="19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7"/>
      <c r="V146" s="147"/>
      <c r="W146" s="147"/>
      <c r="X146" s="147"/>
    </row>
    <row r="147" spans="1:60" x14ac:dyDescent="0.2">
      <c r="A147" s="182">
        <v>50</v>
      </c>
      <c r="B147" s="191" t="s">
        <v>220</v>
      </c>
      <c r="C147" s="192" t="s">
        <v>228</v>
      </c>
      <c r="D147" s="183" t="s">
        <v>98</v>
      </c>
      <c r="E147" s="175">
        <f>E81</f>
        <v>270</v>
      </c>
      <c r="F147" s="194"/>
      <c r="G147" s="184">
        <f>ROUND(E147*F147,2)</f>
        <v>0</v>
      </c>
      <c r="H147" s="185">
        <v>339.99</v>
      </c>
      <c r="I147" s="184">
        <f>ROUND(E147*H147,2)</f>
        <v>91797.3</v>
      </c>
      <c r="J147" s="185">
        <v>352.01</v>
      </c>
      <c r="K147" s="184">
        <f>ROUND(E147*J147,2)</f>
        <v>95042.7</v>
      </c>
      <c r="L147" s="184">
        <v>21</v>
      </c>
      <c r="M147" s="184">
        <f>G147*(1+L147/100)</f>
        <v>0</v>
      </c>
      <c r="N147" s="184">
        <v>0.25080000000000002</v>
      </c>
      <c r="O147" s="184">
        <f>ROUND(E147*N147,2)</f>
        <v>67.72</v>
      </c>
      <c r="P147" s="184">
        <v>0</v>
      </c>
      <c r="Q147" s="184">
        <f>ROUND(E147*P147,2)</f>
        <v>0</v>
      </c>
      <c r="R147" s="184" t="s">
        <v>109</v>
      </c>
      <c r="S147" s="184" t="s">
        <v>324</v>
      </c>
      <c r="T147" s="178" t="s">
        <v>101</v>
      </c>
      <c r="U147" s="147"/>
      <c r="V147" s="147"/>
      <c r="W147" s="147"/>
      <c r="X147" s="147"/>
    </row>
    <row r="148" spans="1:60" x14ac:dyDescent="0.2">
      <c r="A148" s="193"/>
      <c r="B148" s="190"/>
      <c r="C148" s="187" t="s">
        <v>229</v>
      </c>
      <c r="D148" s="188"/>
      <c r="E148" s="189"/>
      <c r="F148" s="200"/>
      <c r="G148" s="146"/>
      <c r="H148" s="200"/>
      <c r="I148" s="146"/>
      <c r="J148" s="200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7"/>
      <c r="V148" s="147"/>
      <c r="W148" s="147"/>
      <c r="X148" s="147"/>
    </row>
    <row r="149" spans="1:60" x14ac:dyDescent="0.2">
      <c r="A149" s="193"/>
      <c r="B149" s="190"/>
      <c r="C149" s="195"/>
      <c r="D149" s="196"/>
      <c r="E149" s="196"/>
      <c r="F149" s="196"/>
      <c r="G149" s="19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7"/>
      <c r="V149" s="147"/>
      <c r="W149" s="147"/>
      <c r="X149" s="147"/>
    </row>
    <row r="150" spans="1:60" ht="22.5" x14ac:dyDescent="0.2">
      <c r="A150" s="182">
        <v>51</v>
      </c>
      <c r="B150" s="191" t="s">
        <v>164</v>
      </c>
      <c r="C150" s="192" t="s">
        <v>166</v>
      </c>
      <c r="D150" s="183" t="s">
        <v>113</v>
      </c>
      <c r="E150" s="175">
        <v>167</v>
      </c>
      <c r="F150" s="194"/>
      <c r="G150" s="184">
        <f>ROUND(E150*F150,2)</f>
        <v>0</v>
      </c>
      <c r="H150" s="194">
        <v>320.33</v>
      </c>
      <c r="I150" s="184">
        <f>ROUND(E150*H150,2)</f>
        <v>53495.11</v>
      </c>
      <c r="J150" s="194">
        <v>128.16999999999999</v>
      </c>
      <c r="K150" s="184">
        <f>ROUND(E150*J150,2)</f>
        <v>21404.39</v>
      </c>
      <c r="L150" s="184">
        <v>21</v>
      </c>
      <c r="M150" s="184">
        <f>G150*(1+L150/100)</f>
        <v>0</v>
      </c>
      <c r="N150" s="184">
        <v>0.26980999999999999</v>
      </c>
      <c r="O150" s="184">
        <f>ROUND(E150*N150,2)</f>
        <v>45.06</v>
      </c>
      <c r="P150" s="184">
        <v>0</v>
      </c>
      <c r="Q150" s="184">
        <f>ROUND(E150*P150,2)</f>
        <v>0</v>
      </c>
      <c r="R150" s="184" t="s">
        <v>109</v>
      </c>
      <c r="S150" s="184" t="s">
        <v>324</v>
      </c>
      <c r="T150" s="184" t="s">
        <v>324</v>
      </c>
      <c r="U150" s="147"/>
      <c r="V150" s="147"/>
      <c r="W150" s="147"/>
      <c r="X150" s="147"/>
    </row>
    <row r="151" spans="1:60" x14ac:dyDescent="0.2">
      <c r="A151" s="193"/>
      <c r="B151" s="190"/>
      <c r="C151" s="300" t="s">
        <v>162</v>
      </c>
      <c r="D151" s="301"/>
      <c r="E151" s="301"/>
      <c r="F151" s="301"/>
      <c r="G151" s="301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7"/>
      <c r="V151" s="147"/>
      <c r="W151" s="147"/>
      <c r="X151" s="147"/>
    </row>
    <row r="152" spans="1:60" x14ac:dyDescent="0.2">
      <c r="A152" s="193"/>
      <c r="B152" s="190"/>
      <c r="C152" s="305"/>
      <c r="D152" s="306"/>
      <c r="E152" s="306"/>
      <c r="F152" s="306"/>
      <c r="G152" s="30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7"/>
      <c r="V152" s="147"/>
      <c r="W152" s="147"/>
      <c r="X152" s="147"/>
    </row>
    <row r="153" spans="1:60" ht="22.5" x14ac:dyDescent="0.2">
      <c r="A153" s="182">
        <v>52</v>
      </c>
      <c r="B153" s="191" t="s">
        <v>150</v>
      </c>
      <c r="C153" s="192" t="s">
        <v>163</v>
      </c>
      <c r="D153" s="183" t="s">
        <v>113</v>
      </c>
      <c r="E153" s="175">
        <f>163+45+80</f>
        <v>288</v>
      </c>
      <c r="F153" s="194"/>
      <c r="G153" s="184">
        <f>ROUND(E153*F153,2)</f>
        <v>0</v>
      </c>
      <c r="H153" s="194">
        <v>320.33</v>
      </c>
      <c r="I153" s="184">
        <f>ROUND(E153*H153,2)</f>
        <v>92255.039999999994</v>
      </c>
      <c r="J153" s="194">
        <v>128.16999999999999</v>
      </c>
      <c r="K153" s="184">
        <f>ROUND(E153*J153,2)</f>
        <v>36912.959999999999</v>
      </c>
      <c r="L153" s="184">
        <v>21</v>
      </c>
      <c r="M153" s="184">
        <f>G153*(1+L153/100)</f>
        <v>0</v>
      </c>
      <c r="N153" s="184">
        <v>0.26980999999999999</v>
      </c>
      <c r="O153" s="184">
        <f>ROUND(E153*N153,2)</f>
        <v>77.709999999999994</v>
      </c>
      <c r="P153" s="184">
        <v>0</v>
      </c>
      <c r="Q153" s="184">
        <f>ROUND(E153*P153,2)</f>
        <v>0</v>
      </c>
      <c r="R153" s="184" t="s">
        <v>109</v>
      </c>
      <c r="S153" s="184" t="s">
        <v>324</v>
      </c>
      <c r="T153" s="184" t="s">
        <v>324</v>
      </c>
      <c r="U153" s="147"/>
      <c r="V153" s="147"/>
      <c r="W153" s="147"/>
      <c r="X153" s="147"/>
    </row>
    <row r="154" spans="1:60" x14ac:dyDescent="0.2">
      <c r="A154" s="193"/>
      <c r="B154" s="190"/>
      <c r="C154" s="300" t="s">
        <v>162</v>
      </c>
      <c r="D154" s="301"/>
      <c r="E154" s="301"/>
      <c r="F154" s="301"/>
      <c r="G154" s="301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7"/>
      <c r="V154" s="147"/>
      <c r="W154" s="147"/>
      <c r="X154" s="147"/>
    </row>
    <row r="155" spans="1:60" outlineLevel="1" x14ac:dyDescent="0.2">
      <c r="A155" s="193"/>
      <c r="B155" s="190"/>
      <c r="C155" s="305"/>
      <c r="D155" s="306"/>
      <c r="E155" s="306"/>
      <c r="F155" s="306"/>
      <c r="G155" s="30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>
        <v>0.27200000000000002</v>
      </c>
      <c r="V155" s="146">
        <f>ROUND(E155*U155,2)</f>
        <v>0</v>
      </c>
      <c r="W155" s="146"/>
      <c r="X155" s="146" t="s">
        <v>110</v>
      </c>
      <c r="Y155" s="143"/>
      <c r="Z155" s="143"/>
      <c r="AA155" s="143"/>
      <c r="AB155" s="143"/>
      <c r="AC155" s="143"/>
      <c r="AD155" s="143"/>
      <c r="AE155" s="143"/>
      <c r="AF155" s="143"/>
      <c r="AG155" s="143" t="s">
        <v>111</v>
      </c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3"/>
    </row>
    <row r="156" spans="1:60" outlineLevel="1" x14ac:dyDescent="0.2">
      <c r="A156" s="182">
        <v>53</v>
      </c>
      <c r="B156" s="191" t="s">
        <v>205</v>
      </c>
      <c r="C156" s="192" t="s">
        <v>240</v>
      </c>
      <c r="D156" s="183" t="s">
        <v>95</v>
      </c>
      <c r="E156" s="175">
        <v>175</v>
      </c>
      <c r="F156" s="194"/>
      <c r="G156" s="184">
        <f>ROUND(E156*F156,2)</f>
        <v>0</v>
      </c>
      <c r="H156" s="194">
        <v>143</v>
      </c>
      <c r="I156" s="184">
        <f>ROUND(E156*H156,2)</f>
        <v>25025</v>
      </c>
      <c r="J156" s="194">
        <v>0</v>
      </c>
      <c r="K156" s="184">
        <f>ROUND(E156*J156,2)</f>
        <v>0</v>
      </c>
      <c r="L156" s="184">
        <v>21</v>
      </c>
      <c r="M156" s="184">
        <f>G156*(1+L156/100)</f>
        <v>0</v>
      </c>
      <c r="N156" s="184">
        <v>5.4170000000000003E-2</v>
      </c>
      <c r="O156" s="184">
        <f>ROUND(E156*N156,2)</f>
        <v>9.48</v>
      </c>
      <c r="P156" s="184">
        <v>0</v>
      </c>
      <c r="Q156" s="184">
        <f>ROUND(E156*P156,2)</f>
        <v>0</v>
      </c>
      <c r="R156" s="184" t="s">
        <v>94</v>
      </c>
      <c r="S156" s="184" t="s">
        <v>324</v>
      </c>
      <c r="T156" s="184" t="s">
        <v>101</v>
      </c>
      <c r="U156" s="146"/>
      <c r="V156" s="146"/>
      <c r="W156" s="146"/>
      <c r="X156" s="146"/>
      <c r="Y156" s="143"/>
      <c r="Z156" s="143"/>
      <c r="AA156" s="143"/>
      <c r="AB156" s="143"/>
      <c r="AC156" s="143"/>
      <c r="AD156" s="143"/>
      <c r="AE156" s="143"/>
      <c r="AF156" s="143"/>
      <c r="AG156" s="143" t="s">
        <v>112</v>
      </c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</row>
    <row r="157" spans="1:60" outlineLevel="1" x14ac:dyDescent="0.2">
      <c r="A157" s="193"/>
      <c r="B157" s="190"/>
      <c r="C157" s="197"/>
      <c r="D157" s="198"/>
      <c r="E157" s="198"/>
      <c r="F157" s="198"/>
      <c r="G157" s="198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</row>
    <row r="158" spans="1:60" ht="22.5" outlineLevel="1" x14ac:dyDescent="0.2">
      <c r="A158" s="182">
        <v>54</v>
      </c>
      <c r="B158" s="191" t="s">
        <v>96</v>
      </c>
      <c r="C158" s="192" t="s">
        <v>97</v>
      </c>
      <c r="D158" s="183" t="s">
        <v>95</v>
      </c>
      <c r="E158" s="175">
        <f>175-E160</f>
        <v>163</v>
      </c>
      <c r="F158" s="194"/>
      <c r="G158" s="184">
        <f>ROUND(E158*F158,2)</f>
        <v>0</v>
      </c>
      <c r="H158" s="194">
        <v>154</v>
      </c>
      <c r="I158" s="184">
        <f>ROUND(E158*H158,2)</f>
        <v>25102</v>
      </c>
      <c r="J158" s="194">
        <v>0</v>
      </c>
      <c r="K158" s="184">
        <f>ROUND(E158*J158,2)</f>
        <v>0</v>
      </c>
      <c r="L158" s="184">
        <v>21</v>
      </c>
      <c r="M158" s="184">
        <f>G158*(1+L158/100)</f>
        <v>0</v>
      </c>
      <c r="N158" s="184">
        <v>8.1970000000000001E-2</v>
      </c>
      <c r="O158" s="184">
        <f>ROUND(E158*N158,2)</f>
        <v>13.36</v>
      </c>
      <c r="P158" s="184">
        <v>0</v>
      </c>
      <c r="Q158" s="184">
        <f>ROUND(E158*P158,2)</f>
        <v>0</v>
      </c>
      <c r="R158" s="184" t="s">
        <v>94</v>
      </c>
      <c r="S158" s="184" t="s">
        <v>324</v>
      </c>
      <c r="T158" s="184" t="s">
        <v>101</v>
      </c>
      <c r="U158" s="146"/>
      <c r="V158" s="146"/>
      <c r="W158" s="146"/>
      <c r="X158" s="146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</row>
    <row r="159" spans="1:60" outlineLevel="1" x14ac:dyDescent="0.2">
      <c r="A159" s="193"/>
      <c r="B159" s="190"/>
      <c r="C159" s="302"/>
      <c r="D159" s="303"/>
      <c r="E159" s="303"/>
      <c r="F159" s="303"/>
      <c r="G159" s="303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3"/>
    </row>
    <row r="160" spans="1:60" ht="22.5" outlineLevel="1" x14ac:dyDescent="0.2">
      <c r="A160" s="182">
        <v>55</v>
      </c>
      <c r="B160" s="191" t="s">
        <v>216</v>
      </c>
      <c r="C160" s="192" t="s">
        <v>217</v>
      </c>
      <c r="D160" s="183" t="s">
        <v>95</v>
      </c>
      <c r="E160" s="175">
        <v>12</v>
      </c>
      <c r="F160" s="194"/>
      <c r="G160" s="184">
        <f>ROUND(E160*F160,2)</f>
        <v>0</v>
      </c>
      <c r="H160" s="194">
        <v>148.5</v>
      </c>
      <c r="I160" s="184">
        <f>ROUND(E160*H160,2)</f>
        <v>1782</v>
      </c>
      <c r="J160" s="194">
        <v>0</v>
      </c>
      <c r="K160" s="184">
        <f>ROUND(E160*J160,2)</f>
        <v>0</v>
      </c>
      <c r="L160" s="184">
        <v>21</v>
      </c>
      <c r="M160" s="184">
        <f>G160*(1+L160/100)</f>
        <v>0</v>
      </c>
      <c r="N160" s="184">
        <v>4.2099999999999999E-2</v>
      </c>
      <c r="O160" s="184">
        <f>ROUND(E160*N160,2)</f>
        <v>0.51</v>
      </c>
      <c r="P160" s="184">
        <v>0</v>
      </c>
      <c r="Q160" s="184">
        <f>ROUND(E160*P160,2)</f>
        <v>0</v>
      </c>
      <c r="R160" s="184" t="s">
        <v>94</v>
      </c>
      <c r="S160" s="184" t="s">
        <v>324</v>
      </c>
      <c r="T160" s="184" t="s">
        <v>101</v>
      </c>
      <c r="U160" s="146"/>
      <c r="V160" s="146"/>
      <c r="W160" s="146"/>
      <c r="X160" s="146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</row>
    <row r="161" spans="1:60" outlineLevel="1" x14ac:dyDescent="0.2">
      <c r="A161" s="193"/>
      <c r="B161" s="190"/>
      <c r="C161" s="302"/>
      <c r="D161" s="303"/>
      <c r="E161" s="303"/>
      <c r="F161" s="303"/>
      <c r="G161" s="303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3"/>
    </row>
    <row r="162" spans="1:60" ht="22.5" outlineLevel="1" x14ac:dyDescent="0.2">
      <c r="A162" s="182">
        <v>56</v>
      </c>
      <c r="B162" s="191" t="s">
        <v>218</v>
      </c>
      <c r="C162" s="192" t="s">
        <v>219</v>
      </c>
      <c r="D162" s="183" t="s">
        <v>95</v>
      </c>
      <c r="E162" s="175">
        <v>45</v>
      </c>
      <c r="F162" s="194"/>
      <c r="G162" s="184">
        <f>ROUND(E162*F162,2)</f>
        <v>0</v>
      </c>
      <c r="H162" s="194">
        <v>148.5</v>
      </c>
      <c r="I162" s="184">
        <f>ROUND(E162*H162,2)</f>
        <v>6682.5</v>
      </c>
      <c r="J162" s="194">
        <v>0</v>
      </c>
      <c r="K162" s="184">
        <f>ROUND(E162*J162,2)</f>
        <v>0</v>
      </c>
      <c r="L162" s="184">
        <v>21</v>
      </c>
      <c r="M162" s="184">
        <f>G162*(1+L162/100)</f>
        <v>0</v>
      </c>
      <c r="N162" s="184">
        <v>4.2099999999999999E-2</v>
      </c>
      <c r="O162" s="184">
        <f>ROUND(E162*N162,2)</f>
        <v>1.89</v>
      </c>
      <c r="P162" s="184">
        <v>0</v>
      </c>
      <c r="Q162" s="184">
        <f>ROUND(E162*P162,2)</f>
        <v>0</v>
      </c>
      <c r="R162" s="184" t="s">
        <v>94</v>
      </c>
      <c r="S162" s="184" t="s">
        <v>324</v>
      </c>
      <c r="T162" s="184" t="s">
        <v>101</v>
      </c>
      <c r="U162" s="146"/>
      <c r="V162" s="146"/>
      <c r="W162" s="146"/>
      <c r="X162" s="146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3"/>
    </row>
    <row r="163" spans="1:60" ht="13.5" customHeight="1" outlineLevel="1" x14ac:dyDescent="0.2">
      <c r="A163" s="193"/>
      <c r="B163" s="190"/>
      <c r="C163" s="197"/>
      <c r="D163" s="198"/>
      <c r="E163" s="198"/>
      <c r="F163" s="198"/>
      <c r="G163" s="198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</row>
    <row r="164" spans="1:60" outlineLevel="1" x14ac:dyDescent="0.2">
      <c r="A164" s="182">
        <v>57</v>
      </c>
      <c r="B164" s="191" t="s">
        <v>128</v>
      </c>
      <c r="C164" s="192" t="s">
        <v>129</v>
      </c>
      <c r="D164" s="183" t="s">
        <v>113</v>
      </c>
      <c r="E164" s="175">
        <v>38</v>
      </c>
      <c r="F164" s="194"/>
      <c r="G164" s="184">
        <f>ROUND(E164*F164,2)</f>
        <v>0</v>
      </c>
      <c r="H164" s="194">
        <v>46.75</v>
      </c>
      <c r="I164" s="184">
        <f>ROUND(E164*H164,2)</f>
        <v>1776.5</v>
      </c>
      <c r="J164" s="194">
        <v>31.45</v>
      </c>
      <c r="K164" s="184">
        <f>ROUND(E164*J164,2)</f>
        <v>1195.0999999999999</v>
      </c>
      <c r="L164" s="184">
        <v>21</v>
      </c>
      <c r="M164" s="184">
        <f>G164*(1+L164/100)</f>
        <v>0</v>
      </c>
      <c r="N164" s="184">
        <v>0</v>
      </c>
      <c r="O164" s="184">
        <f>ROUND(E164*N164,2)</f>
        <v>0</v>
      </c>
      <c r="P164" s="184">
        <v>0</v>
      </c>
      <c r="Q164" s="184">
        <f>ROUND(E164*P164,2)</f>
        <v>0</v>
      </c>
      <c r="R164" s="184" t="s">
        <v>109</v>
      </c>
      <c r="S164" s="184" t="s">
        <v>324</v>
      </c>
      <c r="T164" s="184" t="s">
        <v>324</v>
      </c>
      <c r="U164" s="146"/>
      <c r="V164" s="146"/>
      <c r="W164" s="146"/>
      <c r="X164" s="146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3"/>
    </row>
    <row r="165" spans="1:60" outlineLevel="1" x14ac:dyDescent="0.2">
      <c r="A165" s="193"/>
      <c r="B165" s="190"/>
      <c r="C165" s="300" t="s">
        <v>130</v>
      </c>
      <c r="D165" s="301"/>
      <c r="E165" s="301"/>
      <c r="F165" s="301"/>
      <c r="G165" s="301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</row>
    <row r="166" spans="1:60" outlineLevel="1" x14ac:dyDescent="0.2">
      <c r="A166" s="193"/>
      <c r="B166" s="190"/>
      <c r="C166" s="305"/>
      <c r="D166" s="306"/>
      <c r="E166" s="306"/>
      <c r="F166" s="306"/>
      <c r="G166" s="30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</row>
    <row r="167" spans="1:60" outlineLevel="1" x14ac:dyDescent="0.2">
      <c r="A167" s="182">
        <v>58</v>
      </c>
      <c r="B167" s="191" t="s">
        <v>128</v>
      </c>
      <c r="C167" s="192" t="s">
        <v>306</v>
      </c>
      <c r="D167" s="183" t="s">
        <v>113</v>
      </c>
      <c r="E167" s="175">
        <v>65</v>
      </c>
      <c r="F167" s="194"/>
      <c r="G167" s="184">
        <f>ROUND(E167*F167,2)</f>
        <v>0</v>
      </c>
      <c r="H167" s="194">
        <v>46.75</v>
      </c>
      <c r="I167" s="184">
        <f>ROUND(E167*H167,2)</f>
        <v>3038.75</v>
      </c>
      <c r="J167" s="194">
        <v>31.45</v>
      </c>
      <c r="K167" s="184">
        <f>ROUND(E167*J167,2)</f>
        <v>2044.25</v>
      </c>
      <c r="L167" s="184">
        <v>21</v>
      </c>
      <c r="M167" s="184">
        <f>G167*(1+L167/100)</f>
        <v>0</v>
      </c>
      <c r="N167" s="184">
        <v>0</v>
      </c>
      <c r="O167" s="184">
        <f>ROUND(E167*N167,2)</f>
        <v>0</v>
      </c>
      <c r="P167" s="184">
        <v>0</v>
      </c>
      <c r="Q167" s="184">
        <f>ROUND(E167*P167,2)</f>
        <v>0</v>
      </c>
      <c r="R167" s="184" t="s">
        <v>109</v>
      </c>
      <c r="S167" s="184" t="s">
        <v>324</v>
      </c>
      <c r="T167" s="184" t="s">
        <v>101</v>
      </c>
      <c r="U167" s="146"/>
      <c r="V167" s="146"/>
      <c r="W167" s="146"/>
      <c r="X167" s="146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3"/>
    </row>
    <row r="168" spans="1:60" outlineLevel="1" x14ac:dyDescent="0.2">
      <c r="A168" s="193"/>
      <c r="B168" s="190"/>
      <c r="C168" s="187" t="s">
        <v>307</v>
      </c>
      <c r="D168" s="188"/>
      <c r="E168" s="189"/>
      <c r="F168" s="200"/>
      <c r="G168" s="146"/>
      <c r="H168" s="165"/>
      <c r="I168" s="146"/>
      <c r="J168" s="165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3"/>
    </row>
    <row r="169" spans="1:60" outlineLevel="1" x14ac:dyDescent="0.2">
      <c r="A169" s="193"/>
      <c r="B169" s="190"/>
      <c r="C169" s="305"/>
      <c r="D169" s="306"/>
      <c r="E169" s="306"/>
      <c r="F169" s="306"/>
      <c r="G169" s="30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3"/>
    </row>
    <row r="170" spans="1:60" outlineLevel="1" x14ac:dyDescent="0.2">
      <c r="A170" s="148" t="s">
        <v>91</v>
      </c>
      <c r="B170" s="149" t="s">
        <v>179</v>
      </c>
      <c r="C170" s="156" t="s">
        <v>180</v>
      </c>
      <c r="D170" s="150"/>
      <c r="E170" s="151"/>
      <c r="F170" s="152"/>
      <c r="G170" s="152">
        <f>G171+G174</f>
        <v>0</v>
      </c>
      <c r="H170" s="152"/>
      <c r="I170" s="152">
        <f>SUM(I171:I176)</f>
        <v>47983.94</v>
      </c>
      <c r="J170" s="152"/>
      <c r="K170" s="152">
        <f>SUM(K171:K176)</f>
        <v>55172.06</v>
      </c>
      <c r="L170" s="152"/>
      <c r="M170" s="152">
        <f>M171+M174</f>
        <v>0</v>
      </c>
      <c r="N170" s="152"/>
      <c r="O170" s="152">
        <f>SUM(O171:O176)</f>
        <v>25.900000000000002</v>
      </c>
      <c r="P170" s="152"/>
      <c r="Q170" s="152">
        <f>SUM(Q171:Q176)</f>
        <v>0</v>
      </c>
      <c r="R170" s="152"/>
      <c r="S170" s="152"/>
      <c r="T170" s="153"/>
      <c r="U170" s="146"/>
      <c r="V170" s="146"/>
      <c r="W170" s="146"/>
      <c r="X170" s="146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3"/>
    </row>
    <row r="171" spans="1:60" outlineLevel="1" x14ac:dyDescent="0.2">
      <c r="A171" s="182">
        <v>59</v>
      </c>
      <c r="B171" s="191" t="s">
        <v>202</v>
      </c>
      <c r="C171" s="192" t="s">
        <v>203</v>
      </c>
      <c r="D171" s="183" t="s">
        <v>95</v>
      </c>
      <c r="E171" s="175">
        <v>17</v>
      </c>
      <c r="F171" s="194"/>
      <c r="G171" s="184">
        <f>ROUND(E171*F171,2)</f>
        <v>0</v>
      </c>
      <c r="H171" s="194">
        <v>585.16999999999996</v>
      </c>
      <c r="I171" s="184">
        <f>ROUND(E171*H171,2)</f>
        <v>9947.89</v>
      </c>
      <c r="J171" s="194">
        <v>672.83</v>
      </c>
      <c r="K171" s="184">
        <f>ROUND(E171*J171,2)</f>
        <v>11438.11</v>
      </c>
      <c r="L171" s="184">
        <v>21</v>
      </c>
      <c r="M171" s="184">
        <f>G171*(1+L171/100)</f>
        <v>0</v>
      </c>
      <c r="N171" s="184">
        <v>0.31590000000000001</v>
      </c>
      <c r="O171" s="184">
        <f>ROUND(E171*N171,2)</f>
        <v>5.37</v>
      </c>
      <c r="P171" s="184">
        <v>0</v>
      </c>
      <c r="Q171" s="184">
        <f>ROUND(E171*P171,2)</f>
        <v>0</v>
      </c>
      <c r="R171" s="184" t="s">
        <v>109</v>
      </c>
      <c r="S171" s="184" t="s">
        <v>324</v>
      </c>
      <c r="T171" s="184" t="s">
        <v>324</v>
      </c>
      <c r="U171" s="146"/>
      <c r="V171" s="146"/>
      <c r="W171" s="146"/>
      <c r="X171" s="146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</row>
    <row r="172" spans="1:60" ht="36.6" customHeight="1" outlineLevel="1" x14ac:dyDescent="0.2">
      <c r="A172" s="193"/>
      <c r="B172" s="190"/>
      <c r="C172" s="300" t="s">
        <v>204</v>
      </c>
      <c r="D172" s="301"/>
      <c r="E172" s="301"/>
      <c r="F172" s="301"/>
      <c r="G172" s="301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>
        <v>3.6999999999999998E-2</v>
      </c>
      <c r="V172" s="146">
        <f>ROUND(E172*U172,2)</f>
        <v>0</v>
      </c>
      <c r="W172" s="146"/>
      <c r="X172" s="146" t="s">
        <v>110</v>
      </c>
      <c r="Y172" s="143"/>
      <c r="Z172" s="143"/>
      <c r="AA172" s="143"/>
      <c r="AB172" s="143"/>
      <c r="AC172" s="143"/>
      <c r="AD172" s="143"/>
      <c r="AE172" s="143"/>
      <c r="AF172" s="143"/>
      <c r="AG172" s="143" t="s">
        <v>111</v>
      </c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</row>
    <row r="173" spans="1:60" ht="14.45" customHeight="1" outlineLevel="1" x14ac:dyDescent="0.2">
      <c r="A173" s="193"/>
      <c r="B173" s="190"/>
      <c r="C173" s="305"/>
      <c r="D173" s="306"/>
      <c r="E173" s="306"/>
      <c r="F173" s="306"/>
      <c r="G173" s="30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</row>
    <row r="174" spans="1:60" ht="14.45" customHeight="1" outlineLevel="1" x14ac:dyDescent="0.2">
      <c r="A174" s="182">
        <v>60</v>
      </c>
      <c r="B174" s="191" t="s">
        <v>202</v>
      </c>
      <c r="C174" s="192" t="s">
        <v>308</v>
      </c>
      <c r="D174" s="183" t="s">
        <v>113</v>
      </c>
      <c r="E174" s="175">
        <v>65</v>
      </c>
      <c r="F174" s="194"/>
      <c r="G174" s="184">
        <f>ROUND(E174*F174,2)</f>
        <v>0</v>
      </c>
      <c r="H174" s="194">
        <v>585.16999999999996</v>
      </c>
      <c r="I174" s="184">
        <f>ROUND(E174*H174,2)</f>
        <v>38036.050000000003</v>
      </c>
      <c r="J174" s="194">
        <v>672.83</v>
      </c>
      <c r="K174" s="184">
        <f>ROUND(E174*J174,2)</f>
        <v>43733.95</v>
      </c>
      <c r="L174" s="184">
        <v>21</v>
      </c>
      <c r="M174" s="184">
        <f>G174*(1+L174/100)</f>
        <v>0</v>
      </c>
      <c r="N174" s="184">
        <v>0.31590000000000001</v>
      </c>
      <c r="O174" s="184">
        <f>ROUND(E174*N174,2)</f>
        <v>20.53</v>
      </c>
      <c r="P174" s="184">
        <v>0</v>
      </c>
      <c r="Q174" s="184">
        <f>ROUND(E174*P174,2)</f>
        <v>0</v>
      </c>
      <c r="R174" s="184" t="s">
        <v>109</v>
      </c>
      <c r="S174" s="184" t="s">
        <v>324</v>
      </c>
      <c r="T174" s="184" t="s">
        <v>101</v>
      </c>
      <c r="U174" s="146"/>
      <c r="V174" s="146"/>
      <c r="W174" s="146"/>
      <c r="X174" s="146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</row>
    <row r="175" spans="1:60" ht="14.45" customHeight="1" outlineLevel="1" x14ac:dyDescent="0.2">
      <c r="A175" s="193"/>
      <c r="B175" s="190"/>
      <c r="C175" s="187" t="s">
        <v>309</v>
      </c>
      <c r="D175" s="188"/>
      <c r="E175" s="189"/>
      <c r="F175" s="200"/>
      <c r="G175" s="146"/>
      <c r="H175" s="165"/>
      <c r="I175" s="146"/>
      <c r="J175" s="165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</row>
    <row r="176" spans="1:60" outlineLevel="1" x14ac:dyDescent="0.2">
      <c r="A176" s="193"/>
      <c r="B176" s="190"/>
      <c r="C176" s="305"/>
      <c r="D176" s="306"/>
      <c r="E176" s="306"/>
      <c r="F176" s="306"/>
      <c r="G176" s="30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3"/>
      <c r="Z176" s="143"/>
      <c r="AA176" s="143"/>
      <c r="AB176" s="143"/>
      <c r="AC176" s="143"/>
      <c r="AD176" s="143"/>
      <c r="AE176" s="143"/>
      <c r="AF176" s="143"/>
      <c r="AG176" s="143" t="s">
        <v>112</v>
      </c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</row>
    <row r="177" spans="1:60" outlineLevel="1" x14ac:dyDescent="0.2">
      <c r="A177" s="148" t="s">
        <v>91</v>
      </c>
      <c r="B177" s="149" t="s">
        <v>58</v>
      </c>
      <c r="C177" s="156" t="s">
        <v>59</v>
      </c>
      <c r="D177" s="150"/>
      <c r="E177" s="151"/>
      <c r="F177" s="152"/>
      <c r="G177" s="152">
        <f>SUMIF(AG178:AG183,"&lt;&gt;NOR",G178:G183)</f>
        <v>0</v>
      </c>
      <c r="H177" s="152"/>
      <c r="I177" s="152">
        <f>SUM(I178:I183)</f>
        <v>0</v>
      </c>
      <c r="J177" s="152"/>
      <c r="K177" s="152">
        <f>SUM(K178:K183)</f>
        <v>129440.83</v>
      </c>
      <c r="L177" s="152"/>
      <c r="M177" s="152">
        <f>SUM(M178:M183)</f>
        <v>0</v>
      </c>
      <c r="N177" s="152"/>
      <c r="O177" s="152">
        <f>SUM(O178:O183)</f>
        <v>0</v>
      </c>
      <c r="P177" s="152"/>
      <c r="Q177" s="152">
        <f>SUM(Q178:Q183)</f>
        <v>0</v>
      </c>
      <c r="R177" s="152"/>
      <c r="S177" s="152"/>
      <c r="T177" s="153"/>
      <c r="U177" s="146"/>
      <c r="V177" s="146"/>
      <c r="W177" s="146"/>
      <c r="X177" s="146"/>
      <c r="Y177" s="143"/>
      <c r="Z177" s="143"/>
      <c r="AA177" s="143"/>
      <c r="AB177" s="143"/>
      <c r="AC177" s="143"/>
      <c r="AD177" s="143"/>
      <c r="AE177" s="143"/>
      <c r="AF177" s="143"/>
      <c r="AG177" s="143" t="s">
        <v>93</v>
      </c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</row>
    <row r="178" spans="1:60" outlineLevel="1" x14ac:dyDescent="0.2">
      <c r="A178" s="182">
        <v>61</v>
      </c>
      <c r="B178" s="191" t="s">
        <v>151</v>
      </c>
      <c r="C178" s="192" t="s">
        <v>133</v>
      </c>
      <c r="D178" s="183" t="s">
        <v>126</v>
      </c>
      <c r="E178" s="175">
        <f>E100*0.07*2+E95*0.09*2+E150*0.06+E153*0.085</f>
        <v>111.10000000000001</v>
      </c>
      <c r="F178" s="194"/>
      <c r="G178" s="184">
        <f>ROUND(E178*F178,2)</f>
        <v>0</v>
      </c>
      <c r="H178" s="194">
        <v>0</v>
      </c>
      <c r="I178" s="184">
        <f>ROUND(E178*H178,2)</f>
        <v>0</v>
      </c>
      <c r="J178" s="194">
        <v>225.5</v>
      </c>
      <c r="K178" s="184">
        <f>ROUND(E178*J178,2)</f>
        <v>25053.05</v>
      </c>
      <c r="L178" s="184">
        <v>21</v>
      </c>
      <c r="M178" s="184">
        <f>G178*(1+L178/100)</f>
        <v>0</v>
      </c>
      <c r="N178" s="184">
        <v>0</v>
      </c>
      <c r="O178" s="184">
        <f>ROUND(E178*N178,2)</f>
        <v>0</v>
      </c>
      <c r="P178" s="184">
        <v>0</v>
      </c>
      <c r="Q178" s="184">
        <f>ROUND(E178*P178,2)</f>
        <v>0</v>
      </c>
      <c r="R178" s="184" t="s">
        <v>109</v>
      </c>
      <c r="S178" s="184" t="s">
        <v>324</v>
      </c>
      <c r="T178" s="184" t="s">
        <v>324</v>
      </c>
      <c r="U178" s="146"/>
      <c r="V178" s="146"/>
      <c r="W178" s="146"/>
      <c r="X178" s="146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3"/>
    </row>
    <row r="179" spans="1:60" outlineLevel="1" x14ac:dyDescent="0.2">
      <c r="A179" s="193"/>
      <c r="B179" s="190"/>
      <c r="C179" s="305"/>
      <c r="D179" s="306"/>
      <c r="E179" s="306"/>
      <c r="F179" s="306"/>
      <c r="G179" s="30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</row>
    <row r="180" spans="1:60" ht="12.75" customHeight="1" outlineLevel="1" x14ac:dyDescent="0.2">
      <c r="A180" s="182">
        <v>62</v>
      </c>
      <c r="B180" s="191" t="s">
        <v>181</v>
      </c>
      <c r="C180" s="192" t="s">
        <v>182</v>
      </c>
      <c r="D180" s="183" t="s">
        <v>126</v>
      </c>
      <c r="E180" s="175">
        <f>E79*0.1*1.8+E81*0.2*2+E83*0.15*2+E85*0.2*2</f>
        <v>1076.5999999999999</v>
      </c>
      <c r="F180" s="194"/>
      <c r="G180" s="184">
        <f>ROUND(E180*F180,2)</f>
        <v>0</v>
      </c>
      <c r="H180" s="194">
        <v>0</v>
      </c>
      <c r="I180" s="184">
        <f>ROUND(E180*H180,2)</f>
        <v>0</v>
      </c>
      <c r="J180" s="194">
        <v>71.2</v>
      </c>
      <c r="K180" s="184">
        <f>ROUND(E180*J180,2)</f>
        <v>76653.919999999998</v>
      </c>
      <c r="L180" s="184">
        <v>21</v>
      </c>
      <c r="M180" s="184">
        <f>G180*(1+L180/100)</f>
        <v>0</v>
      </c>
      <c r="N180" s="184">
        <v>0</v>
      </c>
      <c r="O180" s="184">
        <f>ROUND(E180*N180,2)</f>
        <v>0</v>
      </c>
      <c r="P180" s="184">
        <v>0</v>
      </c>
      <c r="Q180" s="184">
        <f>ROUND(E180*P180,2)</f>
        <v>0</v>
      </c>
      <c r="R180" s="184" t="s">
        <v>109</v>
      </c>
      <c r="S180" s="184" t="s">
        <v>324</v>
      </c>
      <c r="T180" s="184" t="s">
        <v>324</v>
      </c>
      <c r="U180" s="146"/>
      <c r="V180" s="146"/>
      <c r="W180" s="146"/>
      <c r="X180" s="146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  <c r="BF180" s="143"/>
      <c r="BG180" s="143"/>
      <c r="BH180" s="143"/>
    </row>
    <row r="181" spans="1:60" outlineLevel="1" x14ac:dyDescent="0.2">
      <c r="A181" s="193"/>
      <c r="B181" s="190"/>
      <c r="C181" s="305"/>
      <c r="D181" s="306"/>
      <c r="E181" s="306"/>
      <c r="F181" s="306"/>
      <c r="G181" s="30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</row>
    <row r="182" spans="1:60" outlineLevel="1" x14ac:dyDescent="0.2">
      <c r="A182" s="182">
        <v>63</v>
      </c>
      <c r="B182" s="191" t="s">
        <v>152</v>
      </c>
      <c r="C182" s="192" t="s">
        <v>209</v>
      </c>
      <c r="D182" s="183" t="s">
        <v>126</v>
      </c>
      <c r="E182" s="175">
        <f>E89*0.04*2.53+E91*0.06*2.53</f>
        <v>455.4</v>
      </c>
      <c r="F182" s="194"/>
      <c r="G182" s="184">
        <f>ROUND(E182*F182,2)</f>
        <v>0</v>
      </c>
      <c r="H182" s="194">
        <v>0</v>
      </c>
      <c r="I182" s="184">
        <f>ROUND(E182*H182,2)</f>
        <v>0</v>
      </c>
      <c r="J182" s="194">
        <v>60.9</v>
      </c>
      <c r="K182" s="184">
        <f>ROUND(E182*J182,2)</f>
        <v>27733.86</v>
      </c>
      <c r="L182" s="184">
        <v>21</v>
      </c>
      <c r="M182" s="184">
        <f>G182*(1+L182/100)</f>
        <v>0</v>
      </c>
      <c r="N182" s="184">
        <v>0</v>
      </c>
      <c r="O182" s="184">
        <f>ROUND(E182*N182,2)</f>
        <v>0</v>
      </c>
      <c r="P182" s="184">
        <v>0</v>
      </c>
      <c r="Q182" s="184">
        <f>ROUND(E182*P182,2)</f>
        <v>0</v>
      </c>
      <c r="R182" s="184" t="s">
        <v>109</v>
      </c>
      <c r="S182" s="184" t="s">
        <v>324</v>
      </c>
      <c r="T182" s="184" t="s">
        <v>324</v>
      </c>
      <c r="U182" s="146"/>
      <c r="V182" s="146"/>
      <c r="W182" s="146"/>
      <c r="X182" s="146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</row>
    <row r="183" spans="1:60" outlineLevel="1" x14ac:dyDescent="0.2">
      <c r="A183" s="193"/>
      <c r="B183" s="190"/>
      <c r="C183" s="305"/>
      <c r="D183" s="306"/>
      <c r="E183" s="306"/>
      <c r="F183" s="306"/>
      <c r="G183" s="30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</row>
    <row r="184" spans="1:60" x14ac:dyDescent="0.2">
      <c r="A184" s="148" t="s">
        <v>91</v>
      </c>
      <c r="B184" s="149" t="s">
        <v>60</v>
      </c>
      <c r="C184" s="156" t="s">
        <v>61</v>
      </c>
      <c r="D184" s="150"/>
      <c r="E184" s="151"/>
      <c r="F184" s="152"/>
      <c r="G184" s="152">
        <f>SUMIF(AG185:AG190,"&lt;&gt;NOR",G185:G190)</f>
        <v>0</v>
      </c>
      <c r="H184" s="152"/>
      <c r="I184" s="152">
        <f>SUM(I185:I190)</f>
        <v>0</v>
      </c>
      <c r="J184" s="152"/>
      <c r="K184" s="152">
        <f>SUM(K185:K190)</f>
        <v>637096.03</v>
      </c>
      <c r="L184" s="152"/>
      <c r="M184" s="152">
        <f>SUM(M185:M190)</f>
        <v>0</v>
      </c>
      <c r="N184" s="152"/>
      <c r="O184" s="152">
        <f>SUM(O185:O190)</f>
        <v>0</v>
      </c>
      <c r="P184" s="152"/>
      <c r="Q184" s="152">
        <f>SUM(Q185:Q190)</f>
        <v>0</v>
      </c>
      <c r="R184" s="152"/>
      <c r="S184" s="152"/>
      <c r="T184" s="153"/>
      <c r="U184" s="147"/>
      <c r="V184" s="147">
        <f>SUM(V185:V190)</f>
        <v>275.61</v>
      </c>
      <c r="W184" s="147"/>
      <c r="X184" s="147"/>
      <c r="AG184" t="s">
        <v>92</v>
      </c>
    </row>
    <row r="185" spans="1:60" outlineLevel="1" x14ac:dyDescent="0.2">
      <c r="A185" s="182">
        <v>64</v>
      </c>
      <c r="B185" s="191" t="s">
        <v>210</v>
      </c>
      <c r="C185" s="192" t="s">
        <v>211</v>
      </c>
      <c r="D185" s="183" t="s">
        <v>126</v>
      </c>
      <c r="E185" s="175">
        <f>50*0.08*2+50*0.15*2+E15*2+E18*0.06*2.2+E24*0.05+E27*0.085</f>
        <v>678.84500000000003</v>
      </c>
      <c r="F185" s="194"/>
      <c r="G185" s="184">
        <f>ROUND(E185*F185,2)</f>
        <v>0</v>
      </c>
      <c r="H185" s="194">
        <v>0</v>
      </c>
      <c r="I185" s="184">
        <f>ROUND(E185*H185,2)</f>
        <v>0</v>
      </c>
      <c r="J185" s="194">
        <v>406.5</v>
      </c>
      <c r="K185" s="184">
        <f>ROUND(E185*J185,2)</f>
        <v>275950.49</v>
      </c>
      <c r="L185" s="184">
        <v>21</v>
      </c>
      <c r="M185" s="184">
        <f>G185*(1+L185/100)</f>
        <v>0</v>
      </c>
      <c r="N185" s="184">
        <v>0</v>
      </c>
      <c r="O185" s="184">
        <f>ROUND(E185*N185,2)</f>
        <v>0</v>
      </c>
      <c r="P185" s="184">
        <v>0</v>
      </c>
      <c r="Q185" s="184">
        <f>ROUND(E185*P185,2)</f>
        <v>0</v>
      </c>
      <c r="R185" s="184"/>
      <c r="S185" s="184" t="s">
        <v>324</v>
      </c>
      <c r="T185" s="184" t="s">
        <v>324</v>
      </c>
      <c r="U185" s="146">
        <v>0.39</v>
      </c>
      <c r="V185" s="146">
        <f>ROUND(E185*U185,2)</f>
        <v>264.75</v>
      </c>
      <c r="W185" s="146"/>
      <c r="X185" s="146" t="s">
        <v>131</v>
      </c>
      <c r="Y185" s="143"/>
      <c r="Z185" s="143"/>
      <c r="AA185" s="143"/>
      <c r="AB185" s="143"/>
      <c r="AC185" s="143"/>
      <c r="AD185" s="143"/>
      <c r="AE185" s="143"/>
      <c r="AF185" s="143"/>
      <c r="AG185" s="143" t="s">
        <v>132</v>
      </c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</row>
    <row r="186" spans="1:60" outlineLevel="1" x14ac:dyDescent="0.2">
      <c r="A186" s="193"/>
      <c r="B186" s="190"/>
      <c r="C186" s="302"/>
      <c r="D186" s="303"/>
      <c r="E186" s="303"/>
      <c r="F186" s="303"/>
      <c r="G186" s="303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3"/>
      <c r="Z186" s="143"/>
      <c r="AA186" s="143"/>
      <c r="AB186" s="143"/>
      <c r="AC186" s="143"/>
      <c r="AD186" s="143"/>
      <c r="AE186" s="143"/>
      <c r="AF186" s="143"/>
      <c r="AG186" s="143" t="s">
        <v>93</v>
      </c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</row>
    <row r="187" spans="1:60" outlineLevel="1" x14ac:dyDescent="0.2">
      <c r="A187" s="182">
        <v>65</v>
      </c>
      <c r="B187" s="191" t="s">
        <v>212</v>
      </c>
      <c r="C187" s="192" t="s">
        <v>213</v>
      </c>
      <c r="D187" s="183" t="s">
        <v>126</v>
      </c>
      <c r="E187" s="175">
        <f>E185*8</f>
        <v>5430.76</v>
      </c>
      <c r="F187" s="194"/>
      <c r="G187" s="184">
        <f>ROUND(E187*F187,2)</f>
        <v>0</v>
      </c>
      <c r="H187" s="194">
        <v>0</v>
      </c>
      <c r="I187" s="184">
        <f>ROUND(E187*H187,2)</f>
        <v>0</v>
      </c>
      <c r="J187" s="194">
        <v>29</v>
      </c>
      <c r="K187" s="184">
        <f>ROUND(E187*J187,2)</f>
        <v>157492.04</v>
      </c>
      <c r="L187" s="184">
        <v>21</v>
      </c>
      <c r="M187" s="184">
        <f>G187*(1+L187/100)</f>
        <v>0</v>
      </c>
      <c r="N187" s="184">
        <v>0</v>
      </c>
      <c r="O187" s="184">
        <f>ROUND(E187*N187,2)</f>
        <v>0</v>
      </c>
      <c r="P187" s="184">
        <v>0</v>
      </c>
      <c r="Q187" s="186">
        <f>ROUND(E187*P187,2)</f>
        <v>0</v>
      </c>
      <c r="R187" s="184" t="s">
        <v>109</v>
      </c>
      <c r="S187" s="184" t="s">
        <v>324</v>
      </c>
      <c r="T187" s="184" t="s">
        <v>324</v>
      </c>
      <c r="U187" s="146"/>
      <c r="V187" s="146"/>
      <c r="W187" s="146"/>
      <c r="X187" s="146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3"/>
      <c r="BG187" s="143"/>
      <c r="BH187" s="143"/>
    </row>
    <row r="188" spans="1:60" outlineLevel="1" x14ac:dyDescent="0.2">
      <c r="A188" s="193"/>
      <c r="B188" s="190"/>
      <c r="C188" s="304"/>
      <c r="D188" s="304"/>
      <c r="E188" s="304"/>
      <c r="F188" s="304"/>
      <c r="G188" s="304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3"/>
    </row>
    <row r="189" spans="1:60" outlineLevel="1" x14ac:dyDescent="0.2">
      <c r="A189" s="182">
        <v>66</v>
      </c>
      <c r="B189" s="191" t="s">
        <v>154</v>
      </c>
      <c r="C189" s="192" t="s">
        <v>153</v>
      </c>
      <c r="D189" s="183" t="s">
        <v>126</v>
      </c>
      <c r="E189" s="175">
        <f>E185</f>
        <v>678.84500000000003</v>
      </c>
      <c r="F189" s="194"/>
      <c r="G189" s="184">
        <f>ROUND(E189*F189,2)</f>
        <v>0</v>
      </c>
      <c r="H189" s="194">
        <v>0</v>
      </c>
      <c r="I189" s="184">
        <f>ROUND(E189*H189,2)</f>
        <v>0</v>
      </c>
      <c r="J189" s="194">
        <v>300</v>
      </c>
      <c r="K189" s="184">
        <f>ROUND(E189*J189,2)</f>
        <v>203653.5</v>
      </c>
      <c r="L189" s="184">
        <v>21</v>
      </c>
      <c r="M189" s="184">
        <f>G189*(1+L189/100)</f>
        <v>0</v>
      </c>
      <c r="N189" s="184">
        <v>0</v>
      </c>
      <c r="O189" s="184">
        <f>ROUND(E189*N189,2)</f>
        <v>0</v>
      </c>
      <c r="P189" s="184">
        <v>0</v>
      </c>
      <c r="Q189" s="184">
        <f>ROUND(E189*P189,2)</f>
        <v>0</v>
      </c>
      <c r="R189" s="184" t="s">
        <v>136</v>
      </c>
      <c r="S189" s="184" t="s">
        <v>324</v>
      </c>
      <c r="T189" s="184" t="s">
        <v>324</v>
      </c>
      <c r="U189" s="146">
        <v>1.6E-2</v>
      </c>
      <c r="V189" s="146">
        <f>ROUND(E189*U189,2)</f>
        <v>10.86</v>
      </c>
      <c r="W189" s="146"/>
      <c r="X189" s="146" t="s">
        <v>131</v>
      </c>
      <c r="Y189" s="143"/>
      <c r="Z189" s="143"/>
      <c r="AA189" s="143"/>
      <c r="AB189" s="143"/>
      <c r="AC189" s="143"/>
      <c r="AD189" s="143"/>
      <c r="AE189" s="143"/>
      <c r="AF189" s="143"/>
      <c r="AG189" s="143" t="s">
        <v>132</v>
      </c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3"/>
    </row>
    <row r="190" spans="1:60" outlineLevel="1" x14ac:dyDescent="0.2">
      <c r="A190" s="193"/>
      <c r="B190" s="190"/>
      <c r="C190" s="302"/>
      <c r="D190" s="303"/>
      <c r="E190" s="303"/>
      <c r="F190" s="303"/>
      <c r="G190" s="303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3"/>
      <c r="Z190" s="143"/>
      <c r="AA190" s="143"/>
      <c r="AB190" s="143"/>
      <c r="AC190" s="143"/>
      <c r="AD190" s="143"/>
      <c r="AE190" s="143"/>
      <c r="AF190" s="143"/>
      <c r="AG190" s="143" t="s">
        <v>93</v>
      </c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  <c r="BF190" s="143"/>
      <c r="BG190" s="143"/>
      <c r="BH190" s="143"/>
    </row>
    <row r="191" spans="1:60" x14ac:dyDescent="0.2">
      <c r="A191" s="148" t="s">
        <v>91</v>
      </c>
      <c r="B191" s="149" t="s">
        <v>63</v>
      </c>
      <c r="C191" s="156" t="s">
        <v>26</v>
      </c>
      <c r="D191" s="150"/>
      <c r="E191" s="151"/>
      <c r="F191" s="152"/>
      <c r="G191" s="152">
        <f>G192+G194+G197+G199</f>
        <v>0</v>
      </c>
      <c r="H191" s="152"/>
      <c r="I191" s="152">
        <f>SUM(I194:I196)</f>
        <v>0</v>
      </c>
      <c r="J191" s="152"/>
      <c r="K191" s="152">
        <f>SUM(K194:K196)</f>
        <v>0</v>
      </c>
      <c r="L191" s="152"/>
      <c r="M191" s="152">
        <f>M192+M194+M197+M199</f>
        <v>0</v>
      </c>
      <c r="N191" s="152"/>
      <c r="O191" s="152">
        <f>SUM(O194:O196)</f>
        <v>0</v>
      </c>
      <c r="P191" s="152"/>
      <c r="Q191" s="152">
        <f>SUM(Q194:Q196)</f>
        <v>0</v>
      </c>
      <c r="R191" s="152"/>
      <c r="S191" s="152"/>
      <c r="T191" s="153"/>
      <c r="U191" s="147"/>
      <c r="V191" s="147">
        <f>SUM(V192:V197)</f>
        <v>0.28999999999999998</v>
      </c>
      <c r="W191" s="147"/>
      <c r="X191" s="147"/>
      <c r="Z191" s="84"/>
      <c r="AG191" t="s">
        <v>92</v>
      </c>
    </row>
    <row r="192" spans="1:60" outlineLevel="1" x14ac:dyDescent="0.2">
      <c r="A192" s="182">
        <v>67</v>
      </c>
      <c r="B192" s="191" t="s">
        <v>159</v>
      </c>
      <c r="C192" s="192" t="s">
        <v>104</v>
      </c>
      <c r="D192" s="183" t="s">
        <v>100</v>
      </c>
      <c r="E192" s="175">
        <v>1</v>
      </c>
      <c r="F192" s="194"/>
      <c r="G192" s="184">
        <f>ROUND(E192*F192,2)</f>
        <v>0</v>
      </c>
      <c r="H192" s="194">
        <v>0</v>
      </c>
      <c r="I192" s="184">
        <f>ROUND(E192*H192,2)</f>
        <v>0</v>
      </c>
      <c r="J192" s="194">
        <v>0</v>
      </c>
      <c r="K192" s="184">
        <f>ROUND(E192*J192,2)</f>
        <v>0</v>
      </c>
      <c r="L192" s="184">
        <v>21</v>
      </c>
      <c r="M192" s="184">
        <f>G192*(1+L192/100)</f>
        <v>0</v>
      </c>
      <c r="N192" s="184">
        <v>0</v>
      </c>
      <c r="O192" s="184">
        <f>ROUND(E192*N192,2)</f>
        <v>0</v>
      </c>
      <c r="P192" s="184">
        <v>0</v>
      </c>
      <c r="Q192" s="184">
        <f>ROUND(E192*P192,2)</f>
        <v>0</v>
      </c>
      <c r="R192" s="184"/>
      <c r="S192" s="184" t="s">
        <v>324</v>
      </c>
      <c r="T192" s="178" t="s">
        <v>101</v>
      </c>
      <c r="U192" s="146">
        <v>0.29099999999999998</v>
      </c>
      <c r="V192" s="146">
        <f>ROUND(E192*U192,2)</f>
        <v>0.28999999999999998</v>
      </c>
      <c r="W192" s="146"/>
      <c r="X192" s="146" t="s">
        <v>134</v>
      </c>
      <c r="Y192" s="162"/>
      <c r="Z192" s="143"/>
      <c r="AA192" s="143"/>
      <c r="AB192" s="143"/>
      <c r="AC192" s="143"/>
      <c r="AD192" s="143"/>
      <c r="AE192" s="143"/>
      <c r="AF192" s="143"/>
      <c r="AG192" s="143" t="s">
        <v>135</v>
      </c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3"/>
      <c r="BG192" s="143"/>
      <c r="BH192" s="143"/>
    </row>
    <row r="193" spans="1:60" outlineLevel="1" x14ac:dyDescent="0.2">
      <c r="A193" s="159"/>
      <c r="B193" s="160"/>
      <c r="C193" s="302"/>
      <c r="D193" s="303"/>
      <c r="E193" s="303"/>
      <c r="F193" s="303"/>
      <c r="G193" s="303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46"/>
      <c r="V193" s="146"/>
      <c r="W193" s="146"/>
      <c r="X193" s="146"/>
      <c r="Y193" s="143"/>
      <c r="Z193" s="143"/>
      <c r="AA193" s="143"/>
      <c r="AB193" s="143"/>
      <c r="AC193" s="143"/>
      <c r="AD193" s="143"/>
      <c r="AE193" s="143"/>
      <c r="AF193" s="143"/>
      <c r="AG193" s="143" t="s">
        <v>93</v>
      </c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</row>
    <row r="194" spans="1:60" outlineLevel="1" x14ac:dyDescent="0.2">
      <c r="A194" s="182">
        <v>68</v>
      </c>
      <c r="B194" s="191" t="s">
        <v>137</v>
      </c>
      <c r="C194" s="192" t="s">
        <v>138</v>
      </c>
      <c r="D194" s="183" t="s">
        <v>100</v>
      </c>
      <c r="E194" s="175">
        <v>1</v>
      </c>
      <c r="F194" s="194"/>
      <c r="G194" s="184">
        <f>ROUND(E194*F194,2)</f>
        <v>0</v>
      </c>
      <c r="H194" s="194">
        <v>0</v>
      </c>
      <c r="I194" s="184">
        <f>ROUND(E194*H194,2)</f>
        <v>0</v>
      </c>
      <c r="J194" s="194">
        <v>0</v>
      </c>
      <c r="K194" s="184">
        <f>ROUND(E194*J194,2)</f>
        <v>0</v>
      </c>
      <c r="L194" s="184">
        <v>21</v>
      </c>
      <c r="M194" s="184">
        <f>G194*(1+L194/100)</f>
        <v>0</v>
      </c>
      <c r="N194" s="184">
        <v>0</v>
      </c>
      <c r="O194" s="184">
        <f>ROUND(E194*N194,2)</f>
        <v>0</v>
      </c>
      <c r="P194" s="184">
        <v>0</v>
      </c>
      <c r="Q194" s="184">
        <f>ROUND(E194*P194,2)</f>
        <v>0</v>
      </c>
      <c r="R194" s="184"/>
      <c r="S194" s="184" t="s">
        <v>324</v>
      </c>
      <c r="T194" s="178" t="s">
        <v>101</v>
      </c>
      <c r="U194" s="146"/>
      <c r="V194" s="146"/>
      <c r="W194" s="146"/>
      <c r="X194" s="146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3"/>
    </row>
    <row r="195" spans="1:60" ht="23.45" customHeight="1" outlineLevel="1" x14ac:dyDescent="0.2">
      <c r="A195" s="193"/>
      <c r="B195" s="190"/>
      <c r="C195" s="310" t="s">
        <v>139</v>
      </c>
      <c r="D195" s="311"/>
      <c r="E195" s="311"/>
      <c r="F195" s="311"/>
      <c r="G195" s="311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  <c r="BC195" s="143"/>
      <c r="BD195" s="143"/>
      <c r="BE195" s="143"/>
      <c r="BF195" s="143"/>
      <c r="BG195" s="143"/>
      <c r="BH195" s="143"/>
    </row>
    <row r="196" spans="1:60" outlineLevel="1" x14ac:dyDescent="0.2">
      <c r="A196" s="193"/>
      <c r="B196" s="190"/>
      <c r="C196" s="305"/>
      <c r="D196" s="306"/>
      <c r="E196" s="306"/>
      <c r="F196" s="306"/>
      <c r="G196" s="30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>
        <v>0</v>
      </c>
      <c r="V196" s="146">
        <f>ROUND(E196*U196,2)</f>
        <v>0</v>
      </c>
      <c r="W196" s="146"/>
      <c r="X196" s="146" t="s">
        <v>134</v>
      </c>
      <c r="Y196" s="143"/>
      <c r="Z196" s="143"/>
      <c r="AA196" s="143"/>
      <c r="AB196" s="143"/>
      <c r="AC196" s="143"/>
      <c r="AD196" s="143"/>
      <c r="AE196" s="143"/>
      <c r="AF196" s="143"/>
      <c r="AG196" s="143" t="s">
        <v>135</v>
      </c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  <c r="BC196" s="143"/>
      <c r="BD196" s="143"/>
      <c r="BE196" s="143"/>
      <c r="BF196" s="143"/>
      <c r="BG196" s="143"/>
      <c r="BH196" s="143"/>
    </row>
    <row r="197" spans="1:60" outlineLevel="1" x14ac:dyDescent="0.2">
      <c r="A197" s="182">
        <v>69</v>
      </c>
      <c r="B197" s="191" t="s">
        <v>155</v>
      </c>
      <c r="C197" s="192" t="s">
        <v>99</v>
      </c>
      <c r="D197" s="183" t="s">
        <v>100</v>
      </c>
      <c r="E197" s="175">
        <v>1</v>
      </c>
      <c r="F197" s="194"/>
      <c r="G197" s="184">
        <f>ROUND(E197*F197,2)</f>
        <v>0</v>
      </c>
      <c r="H197" s="194">
        <v>0</v>
      </c>
      <c r="I197" s="184">
        <f>ROUND(E197*H197,2)</f>
        <v>0</v>
      </c>
      <c r="J197" s="194">
        <v>0</v>
      </c>
      <c r="K197" s="184">
        <f>ROUND(E197*J197,2)</f>
        <v>0</v>
      </c>
      <c r="L197" s="184">
        <v>21</v>
      </c>
      <c r="M197" s="184">
        <f>G197*(1+L197/100)</f>
        <v>0</v>
      </c>
      <c r="N197" s="184">
        <v>0</v>
      </c>
      <c r="O197" s="184">
        <f>ROUND(E197*N197,2)</f>
        <v>0</v>
      </c>
      <c r="P197" s="184">
        <v>0</v>
      </c>
      <c r="Q197" s="184">
        <f>ROUND(E197*P197,2)</f>
        <v>0</v>
      </c>
      <c r="R197" s="184"/>
      <c r="S197" s="184" t="s">
        <v>324</v>
      </c>
      <c r="T197" s="178" t="s">
        <v>101</v>
      </c>
      <c r="U197" s="146"/>
      <c r="V197" s="146"/>
      <c r="W197" s="146"/>
      <c r="X197" s="146"/>
      <c r="Y197" s="143"/>
      <c r="Z197" s="143"/>
      <c r="AA197" s="143"/>
      <c r="AB197" s="143"/>
      <c r="AC197" s="143"/>
      <c r="AD197" s="143"/>
      <c r="AE197" s="143"/>
      <c r="AF197" s="143"/>
      <c r="AG197" s="143" t="s">
        <v>93</v>
      </c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143"/>
      <c r="AY197" s="143"/>
      <c r="AZ197" s="143"/>
      <c r="BA197" s="143"/>
      <c r="BB197" s="143"/>
      <c r="BC197" s="143"/>
      <c r="BD197" s="143"/>
      <c r="BE197" s="143"/>
      <c r="BF197" s="143"/>
      <c r="BG197" s="143"/>
      <c r="BH197" s="143"/>
    </row>
    <row r="198" spans="1:60" x14ac:dyDescent="0.2">
      <c r="A198" s="193"/>
      <c r="B198" s="190"/>
      <c r="C198" s="302"/>
      <c r="D198" s="303"/>
      <c r="E198" s="303"/>
      <c r="F198" s="303"/>
      <c r="G198" s="303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7"/>
      <c r="V198" s="147">
        <f>SUM(V201:V203)</f>
        <v>0</v>
      </c>
      <c r="W198" s="147"/>
      <c r="X198" s="147"/>
      <c r="Z198" s="84"/>
      <c r="AG198" t="s">
        <v>92</v>
      </c>
    </row>
    <row r="199" spans="1:60" x14ac:dyDescent="0.2">
      <c r="A199" s="182">
        <v>70</v>
      </c>
      <c r="B199" s="191" t="s">
        <v>106</v>
      </c>
      <c r="C199" s="192" t="s">
        <v>107</v>
      </c>
      <c r="D199" s="183" t="s">
        <v>100</v>
      </c>
      <c r="E199" s="175">
        <v>1</v>
      </c>
      <c r="F199" s="194"/>
      <c r="G199" s="184">
        <f>ROUND(E199*F199,2)</f>
        <v>0</v>
      </c>
      <c r="H199" s="194">
        <v>0</v>
      </c>
      <c r="I199" s="184">
        <f>ROUND(E199*H199,2)</f>
        <v>0</v>
      </c>
      <c r="J199" s="194">
        <v>0</v>
      </c>
      <c r="K199" s="184">
        <f>ROUND(E199*J199,2)</f>
        <v>0</v>
      </c>
      <c r="L199" s="184">
        <v>21</v>
      </c>
      <c r="M199" s="184">
        <f>G199*(1+L199/100)</f>
        <v>0</v>
      </c>
      <c r="N199" s="184">
        <v>0</v>
      </c>
      <c r="O199" s="184">
        <f>ROUND(E199*N199,2)</f>
        <v>0</v>
      </c>
      <c r="P199" s="184">
        <v>0</v>
      </c>
      <c r="Q199" s="184">
        <f>ROUND(E199*P199,2)</f>
        <v>0</v>
      </c>
      <c r="R199" s="184"/>
      <c r="S199" s="184" t="s">
        <v>324</v>
      </c>
      <c r="T199" s="178" t="s">
        <v>101</v>
      </c>
      <c r="U199" s="147"/>
      <c r="V199" s="147"/>
      <c r="W199" s="147"/>
      <c r="X199" s="147"/>
    </row>
    <row r="200" spans="1:60" ht="22.15" customHeight="1" x14ac:dyDescent="0.2">
      <c r="A200" s="193"/>
      <c r="B200" s="190"/>
      <c r="C200" s="310" t="s">
        <v>108</v>
      </c>
      <c r="D200" s="311"/>
      <c r="E200" s="311"/>
      <c r="F200" s="311"/>
      <c r="G200" s="311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7"/>
      <c r="V200" s="147"/>
      <c r="W200" s="147"/>
      <c r="X200" s="147"/>
    </row>
    <row r="201" spans="1:60" outlineLevel="1" x14ac:dyDescent="0.2">
      <c r="A201" s="193"/>
      <c r="B201" s="190"/>
      <c r="C201" s="195"/>
      <c r="D201" s="196"/>
      <c r="E201" s="196"/>
      <c r="F201" s="196"/>
      <c r="G201" s="19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>
        <v>0</v>
      </c>
      <c r="V201" s="146">
        <f>ROUND(E201*U201,2)</f>
        <v>0</v>
      </c>
      <c r="W201" s="146"/>
      <c r="X201" s="146" t="s">
        <v>102</v>
      </c>
      <c r="Y201" s="143"/>
      <c r="Z201" s="143"/>
      <c r="AA201" s="143"/>
      <c r="AB201" s="143"/>
      <c r="AC201" s="143"/>
      <c r="AD201" s="143"/>
      <c r="AE201" s="143"/>
      <c r="AF201" s="143"/>
      <c r="AG201" s="143" t="s">
        <v>103</v>
      </c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  <c r="BC201" s="143"/>
      <c r="BD201" s="143"/>
      <c r="BE201" s="143"/>
      <c r="BF201" s="143"/>
      <c r="BG201" s="143"/>
      <c r="BH201" s="143"/>
    </row>
    <row r="202" spans="1:60" ht="13.15" customHeight="1" outlineLevel="1" x14ac:dyDescent="0.2">
      <c r="A202" s="148" t="s">
        <v>91</v>
      </c>
      <c r="B202" s="149" t="s">
        <v>64</v>
      </c>
      <c r="C202" s="156" t="s">
        <v>27</v>
      </c>
      <c r="D202" s="150"/>
      <c r="E202" s="151"/>
      <c r="F202" s="152"/>
      <c r="G202" s="152">
        <f>SUMIF(AG203:AG211,"&lt;&gt;NOR",G203:G211)</f>
        <v>0</v>
      </c>
      <c r="H202" s="152"/>
      <c r="I202" s="152">
        <f>SUM(I203:I211)</f>
        <v>0</v>
      </c>
      <c r="J202" s="152"/>
      <c r="K202" s="152">
        <f>SUM(K203:K211)</f>
        <v>0</v>
      </c>
      <c r="L202" s="152"/>
      <c r="M202" s="152">
        <f>SUM(M203:M211)</f>
        <v>0</v>
      </c>
      <c r="N202" s="152"/>
      <c r="O202" s="152">
        <f>SUM(O203:O211)</f>
        <v>0</v>
      </c>
      <c r="P202" s="152"/>
      <c r="Q202" s="152">
        <f>SUM(Q203:Q211)</f>
        <v>0</v>
      </c>
      <c r="R202" s="152"/>
      <c r="S202" s="152"/>
      <c r="T202" s="153"/>
      <c r="U202" s="146"/>
      <c r="V202" s="146"/>
      <c r="W202" s="146"/>
      <c r="X202" s="146"/>
      <c r="Y202" s="143"/>
      <c r="Z202" s="143"/>
      <c r="AA202" s="143"/>
      <c r="AB202" s="143"/>
      <c r="AC202" s="143"/>
      <c r="AD202" s="143"/>
      <c r="AE202" s="143"/>
      <c r="AF202" s="143"/>
      <c r="AG202" s="143" t="s">
        <v>105</v>
      </c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/>
      <c r="AV202" s="143"/>
      <c r="AW202" s="143"/>
      <c r="AX202" s="143"/>
      <c r="AY202" s="143"/>
      <c r="AZ202" s="143"/>
      <c r="BA202" s="154" t="str">
        <f>C202</f>
        <v>Ostatní náklady</v>
      </c>
      <c r="BB202" s="143"/>
      <c r="BC202" s="143"/>
      <c r="BD202" s="143"/>
      <c r="BE202" s="143"/>
      <c r="BF202" s="143"/>
      <c r="BG202" s="143"/>
      <c r="BH202" s="143"/>
    </row>
    <row r="203" spans="1:60" outlineLevel="1" x14ac:dyDescent="0.2">
      <c r="A203" s="182">
        <v>71</v>
      </c>
      <c r="B203" s="191" t="s">
        <v>140</v>
      </c>
      <c r="C203" s="192" t="s">
        <v>141</v>
      </c>
      <c r="D203" s="183" t="s">
        <v>100</v>
      </c>
      <c r="E203" s="175">
        <v>1</v>
      </c>
      <c r="F203" s="194"/>
      <c r="G203" s="184">
        <f>ROUND(E203*F203,2)</f>
        <v>0</v>
      </c>
      <c r="H203" s="194">
        <v>0</v>
      </c>
      <c r="I203" s="184">
        <f>ROUND(E203*H203,2)</f>
        <v>0</v>
      </c>
      <c r="J203" s="194">
        <v>0</v>
      </c>
      <c r="K203" s="184">
        <f>ROUND(E203*J203,2)</f>
        <v>0</v>
      </c>
      <c r="L203" s="184">
        <v>21</v>
      </c>
      <c r="M203" s="184">
        <f>G203*(1+L203/100)</f>
        <v>0</v>
      </c>
      <c r="N203" s="184">
        <v>0</v>
      </c>
      <c r="O203" s="184">
        <f>ROUND(E203*N203,2)</f>
        <v>0</v>
      </c>
      <c r="P203" s="184">
        <v>0</v>
      </c>
      <c r="Q203" s="184">
        <f>ROUND(E203*P203,2)</f>
        <v>0</v>
      </c>
      <c r="R203" s="184"/>
      <c r="S203" s="184" t="s">
        <v>324</v>
      </c>
      <c r="T203" s="178" t="s">
        <v>101</v>
      </c>
      <c r="U203" s="146"/>
      <c r="V203" s="146"/>
      <c r="W203" s="146"/>
      <c r="X203" s="146"/>
      <c r="Y203" s="143"/>
      <c r="Z203" s="143"/>
      <c r="AA203" s="143"/>
      <c r="AB203" s="143"/>
      <c r="AC203" s="143"/>
      <c r="AD203" s="143"/>
      <c r="AE203" s="143"/>
      <c r="AF203" s="143"/>
      <c r="AG203" s="143" t="s">
        <v>93</v>
      </c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  <c r="BE203" s="143"/>
      <c r="BF203" s="143"/>
      <c r="BG203" s="143"/>
      <c r="BH203" s="143"/>
    </row>
    <row r="204" spans="1:60" ht="21.6" customHeight="1" outlineLevel="1" x14ac:dyDescent="0.2">
      <c r="A204" s="193"/>
      <c r="B204" s="190"/>
      <c r="C204" s="310" t="s">
        <v>156</v>
      </c>
      <c r="D204" s="311"/>
      <c r="E204" s="311"/>
      <c r="F204" s="311"/>
      <c r="G204" s="311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  <c r="AU204" s="143"/>
      <c r="AV204" s="143"/>
      <c r="AW204" s="143"/>
      <c r="AX204" s="143"/>
      <c r="AY204" s="143"/>
      <c r="AZ204" s="143"/>
      <c r="BA204" s="143"/>
      <c r="BB204" s="143"/>
      <c r="BC204" s="143"/>
      <c r="BD204" s="143"/>
      <c r="BE204" s="143"/>
      <c r="BF204" s="143"/>
      <c r="BG204" s="143"/>
      <c r="BH204" s="143"/>
    </row>
    <row r="205" spans="1:60" outlineLevel="1" x14ac:dyDescent="0.2">
      <c r="A205" s="193"/>
      <c r="B205" s="190"/>
      <c r="C205" s="305"/>
      <c r="D205" s="306"/>
      <c r="E205" s="306"/>
      <c r="F205" s="306"/>
      <c r="G205" s="30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3"/>
    </row>
    <row r="206" spans="1:60" outlineLevel="1" x14ac:dyDescent="0.2">
      <c r="A206" s="182">
        <v>72</v>
      </c>
      <c r="B206" s="191" t="s">
        <v>142</v>
      </c>
      <c r="C206" s="192" t="s">
        <v>143</v>
      </c>
      <c r="D206" s="183" t="s">
        <v>100</v>
      </c>
      <c r="E206" s="175">
        <v>1</v>
      </c>
      <c r="F206" s="194"/>
      <c r="G206" s="184">
        <f>ROUND(E206*F206,2)</f>
        <v>0</v>
      </c>
      <c r="H206" s="194">
        <v>0</v>
      </c>
      <c r="I206" s="184">
        <f>ROUND(E206*H206,2)</f>
        <v>0</v>
      </c>
      <c r="J206" s="194">
        <v>0</v>
      </c>
      <c r="K206" s="184">
        <f>ROUND(E206*J206,2)</f>
        <v>0</v>
      </c>
      <c r="L206" s="184">
        <v>21</v>
      </c>
      <c r="M206" s="184">
        <f>G206*(1+L206/100)</f>
        <v>0</v>
      </c>
      <c r="N206" s="184">
        <v>0</v>
      </c>
      <c r="O206" s="184">
        <f>ROUND(E206*N206,2)</f>
        <v>0</v>
      </c>
      <c r="P206" s="184">
        <v>0</v>
      </c>
      <c r="Q206" s="184">
        <f>ROUND(E206*P206,2)</f>
        <v>0</v>
      </c>
      <c r="R206" s="184"/>
      <c r="S206" s="184" t="s">
        <v>324</v>
      </c>
      <c r="T206" s="178" t="s">
        <v>101</v>
      </c>
      <c r="U206" s="146"/>
      <c r="V206" s="146"/>
      <c r="W206" s="146"/>
      <c r="X206" s="146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  <c r="BF206" s="143"/>
      <c r="BG206" s="143"/>
      <c r="BH206" s="143"/>
    </row>
    <row r="207" spans="1:60" ht="15" customHeight="1" outlineLevel="1" x14ac:dyDescent="0.2">
      <c r="A207" s="193"/>
      <c r="B207" s="190"/>
      <c r="C207" s="310" t="s">
        <v>144</v>
      </c>
      <c r="D207" s="311"/>
      <c r="E207" s="311"/>
      <c r="F207" s="311"/>
      <c r="G207" s="311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  <c r="BC207" s="143"/>
      <c r="BD207" s="143"/>
      <c r="BE207" s="143"/>
      <c r="BF207" s="143"/>
      <c r="BG207" s="143"/>
      <c r="BH207" s="143"/>
    </row>
    <row r="208" spans="1:60" outlineLevel="1" x14ac:dyDescent="0.2">
      <c r="A208" s="193"/>
      <c r="B208" s="190"/>
      <c r="C208" s="305"/>
      <c r="D208" s="306"/>
      <c r="E208" s="306"/>
      <c r="F208" s="306"/>
      <c r="G208" s="30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  <c r="BH208" s="143"/>
    </row>
    <row r="209" spans="1:60" x14ac:dyDescent="0.2">
      <c r="A209" s="182">
        <v>73</v>
      </c>
      <c r="B209" s="191" t="s">
        <v>145</v>
      </c>
      <c r="C209" s="192" t="s">
        <v>146</v>
      </c>
      <c r="D209" s="183" t="s">
        <v>100</v>
      </c>
      <c r="E209" s="175">
        <v>1</v>
      </c>
      <c r="F209" s="194"/>
      <c r="G209" s="184">
        <f>ROUND(E209*F209,2)</f>
        <v>0</v>
      </c>
      <c r="H209" s="194">
        <v>0</v>
      </c>
      <c r="I209" s="184">
        <f>ROUND(E209*H209,2)</f>
        <v>0</v>
      </c>
      <c r="J209" s="194">
        <v>0</v>
      </c>
      <c r="K209" s="184">
        <f>ROUND(E209*J209,2)</f>
        <v>0</v>
      </c>
      <c r="L209" s="184">
        <v>21</v>
      </c>
      <c r="M209" s="184">
        <f>G209*(1+L209/100)</f>
        <v>0</v>
      </c>
      <c r="N209" s="184">
        <v>0</v>
      </c>
      <c r="O209" s="184">
        <f>ROUND(E209*N209,2)</f>
        <v>0</v>
      </c>
      <c r="P209" s="184">
        <v>0</v>
      </c>
      <c r="Q209" s="184">
        <f>ROUND(E209*P209,2)</f>
        <v>0</v>
      </c>
      <c r="R209" s="184"/>
      <c r="S209" s="184" t="s">
        <v>324</v>
      </c>
      <c r="T209" s="178" t="s">
        <v>101</v>
      </c>
      <c r="U209" s="147"/>
      <c r="V209" s="147">
        <f>SUM(V210:V213)</f>
        <v>0</v>
      </c>
      <c r="W209" s="147"/>
      <c r="X209" s="147"/>
      <c r="AG209" t="s">
        <v>92</v>
      </c>
    </row>
    <row r="210" spans="1:60" ht="12" customHeight="1" outlineLevel="1" x14ac:dyDescent="0.2">
      <c r="A210" s="193"/>
      <c r="B210" s="190"/>
      <c r="C210" s="310" t="s">
        <v>157</v>
      </c>
      <c r="D210" s="311"/>
      <c r="E210" s="311"/>
      <c r="F210" s="311"/>
      <c r="G210" s="311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>
        <v>0</v>
      </c>
      <c r="V210" s="146">
        <f>ROUND(E210*U210,2)</f>
        <v>0</v>
      </c>
      <c r="W210" s="146"/>
      <c r="X210" s="146" t="s">
        <v>102</v>
      </c>
      <c r="Y210" s="162"/>
      <c r="Z210" s="143"/>
      <c r="AA210" s="143"/>
      <c r="AB210" s="143"/>
      <c r="AC210" s="143"/>
      <c r="AD210" s="143"/>
      <c r="AE210" s="143"/>
      <c r="AF210" s="143"/>
      <c r="AG210" s="143" t="s">
        <v>103</v>
      </c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3"/>
    </row>
    <row r="211" spans="1:60" ht="14.45" customHeight="1" outlineLevel="1" x14ac:dyDescent="0.2">
      <c r="A211" s="193"/>
      <c r="B211" s="190"/>
      <c r="C211" s="305"/>
      <c r="D211" s="306"/>
      <c r="E211" s="306"/>
      <c r="F211" s="306"/>
      <c r="G211" s="30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3"/>
      <c r="Z211" s="143"/>
      <c r="AA211" s="143"/>
      <c r="AB211" s="143"/>
      <c r="AC211" s="143"/>
      <c r="AD211" s="143"/>
      <c r="AE211" s="143"/>
      <c r="AF211" s="143"/>
      <c r="AG211" s="143" t="s">
        <v>105</v>
      </c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54">
        <f>C211</f>
        <v>0</v>
      </c>
      <c r="BB211" s="143"/>
      <c r="BC211" s="143"/>
      <c r="BD211" s="143"/>
      <c r="BE211" s="143"/>
      <c r="BF211" s="143"/>
      <c r="BG211" s="143"/>
      <c r="BH211" s="143"/>
    </row>
    <row r="212" spans="1:60" outlineLevel="1" x14ac:dyDescent="0.2">
      <c r="A212" s="3"/>
      <c r="B212" s="4"/>
      <c r="C212" s="157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146"/>
      <c r="V212" s="146"/>
      <c r="W212" s="146"/>
      <c r="X212" s="146"/>
      <c r="Y212" s="143"/>
      <c r="Z212" s="143"/>
      <c r="AA212" s="143"/>
      <c r="AB212" s="143"/>
      <c r="AC212" s="143"/>
      <c r="AD212" s="143"/>
      <c r="AE212" s="143"/>
      <c r="AF212" s="143"/>
      <c r="AG212" s="143" t="s">
        <v>93</v>
      </c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</row>
    <row r="213" spans="1:60" outlineLevel="1" x14ac:dyDescent="0.2">
      <c r="A213" s="206"/>
      <c r="B213" s="207" t="s">
        <v>28</v>
      </c>
      <c r="C213" s="208"/>
      <c r="D213" s="209"/>
      <c r="E213" s="210"/>
      <c r="F213" s="210"/>
      <c r="G213" s="155">
        <f>G202+G191+G184+G177+G170+G137+G78+G8+G107</f>
        <v>0</v>
      </c>
      <c r="H213" s="3"/>
      <c r="I213" s="3"/>
      <c r="J213" s="3"/>
      <c r="K213" s="3"/>
      <c r="L213" s="145"/>
      <c r="M213" s="3"/>
      <c r="N213" s="3"/>
      <c r="O213" s="3"/>
      <c r="P213" s="3"/>
      <c r="Q213" s="3"/>
      <c r="R213" s="3"/>
      <c r="S213" s="3"/>
      <c r="T213" s="3"/>
      <c r="U213" s="146"/>
      <c r="V213" s="146"/>
      <c r="W213" s="146"/>
      <c r="X213" s="146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  <c r="BF213" s="143"/>
      <c r="BG213" s="143"/>
      <c r="BH213" s="143"/>
    </row>
    <row r="214" spans="1:60" x14ac:dyDescent="0.2">
      <c r="C214" s="158"/>
      <c r="D214" s="10"/>
      <c r="AG214" t="s">
        <v>147</v>
      </c>
    </row>
    <row r="215" spans="1:60" x14ac:dyDescent="0.2">
      <c r="D215" s="10"/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  <row r="5018" spans="4:4" x14ac:dyDescent="0.2">
      <c r="D5018" s="10"/>
    </row>
    <row r="5019" spans="4:4" x14ac:dyDescent="0.2">
      <c r="D5019" s="10"/>
    </row>
    <row r="5020" spans="4:4" x14ac:dyDescent="0.2">
      <c r="D5020" s="10"/>
    </row>
    <row r="5021" spans="4:4" x14ac:dyDescent="0.2">
      <c r="D5021" s="10"/>
    </row>
    <row r="5022" spans="4:4" x14ac:dyDescent="0.2">
      <c r="D5022" s="10"/>
    </row>
    <row r="5023" spans="4:4" x14ac:dyDescent="0.2">
      <c r="D5023" s="10"/>
    </row>
    <row r="5024" spans="4:4" x14ac:dyDescent="0.2">
      <c r="D5024" s="10"/>
    </row>
    <row r="5025" spans="4:4" x14ac:dyDescent="0.2">
      <c r="D5025" s="10"/>
    </row>
    <row r="5026" spans="4:4" x14ac:dyDescent="0.2">
      <c r="D5026" s="10"/>
    </row>
    <row r="5027" spans="4:4" x14ac:dyDescent="0.2">
      <c r="D5027" s="10"/>
    </row>
    <row r="5028" spans="4:4" x14ac:dyDescent="0.2">
      <c r="D5028" s="10"/>
    </row>
    <row r="5029" spans="4:4" x14ac:dyDescent="0.2">
      <c r="D5029" s="10"/>
    </row>
    <row r="5030" spans="4:4" x14ac:dyDescent="0.2">
      <c r="D5030" s="10"/>
    </row>
    <row r="5031" spans="4:4" x14ac:dyDescent="0.2">
      <c r="D5031" s="10"/>
    </row>
    <row r="5032" spans="4:4" x14ac:dyDescent="0.2">
      <c r="D5032" s="10"/>
    </row>
    <row r="5033" spans="4:4" x14ac:dyDescent="0.2">
      <c r="D5033" s="10"/>
    </row>
  </sheetData>
  <sheetProtection algorithmName="SHA-512" hashValue="oncg5d/MtLz8MUa4nW4OU1wIy9FuckXXwUCwNX6R9+Zr6Io9wmvF1MSdHhr8Oeup+wg5Nb6vOdwa/flc1MxibA==" saltValue="8APVT1Dta2h1jwFuerG5sg==" spinCount="100000" sheet="1" objects="1" scenarios="1"/>
  <mergeCells count="87">
    <mergeCell ref="A1:G1"/>
    <mergeCell ref="C3:G3"/>
    <mergeCell ref="C48:G48"/>
    <mergeCell ref="C17:G17"/>
    <mergeCell ref="C20:G20"/>
    <mergeCell ref="C28:G28"/>
    <mergeCell ref="C10:G10"/>
    <mergeCell ref="C2:H2"/>
    <mergeCell ref="C4:H4"/>
    <mergeCell ref="C43:G43"/>
    <mergeCell ref="C46:G46"/>
    <mergeCell ref="C16:G16"/>
    <mergeCell ref="C19:G19"/>
    <mergeCell ref="C22:G22"/>
    <mergeCell ref="C25:G25"/>
    <mergeCell ref="C13:G13"/>
    <mergeCell ref="C193:G193"/>
    <mergeCell ref="C200:G200"/>
    <mergeCell ref="C205:G205"/>
    <mergeCell ref="C207:G207"/>
    <mergeCell ref="C211:G211"/>
    <mergeCell ref="C195:G195"/>
    <mergeCell ref="C196:G196"/>
    <mergeCell ref="C198:G198"/>
    <mergeCell ref="C204:G204"/>
    <mergeCell ref="C208:G208"/>
    <mergeCell ref="C210:G210"/>
    <mergeCell ref="C64:G64"/>
    <mergeCell ref="C104:G104"/>
    <mergeCell ref="C159:G159"/>
    <mergeCell ref="C186:G186"/>
    <mergeCell ref="C176:G176"/>
    <mergeCell ref="C115:G115"/>
    <mergeCell ref="C181:G181"/>
    <mergeCell ref="C118:G118"/>
    <mergeCell ref="C169:G169"/>
    <mergeCell ref="C179:G179"/>
    <mergeCell ref="C183:G183"/>
    <mergeCell ref="C133:G133"/>
    <mergeCell ref="C134:G134"/>
    <mergeCell ref="C173:G173"/>
    <mergeCell ref="C140:G140"/>
    <mergeCell ref="C143:G143"/>
    <mergeCell ref="C190:G190"/>
    <mergeCell ref="C188:G188"/>
    <mergeCell ref="C80:G80"/>
    <mergeCell ref="C151:G151"/>
    <mergeCell ref="C152:G152"/>
    <mergeCell ref="C154:G154"/>
    <mergeCell ref="C155:G155"/>
    <mergeCell ref="C161:G161"/>
    <mergeCell ref="C165:G165"/>
    <mergeCell ref="C172:G172"/>
    <mergeCell ref="C166:G166"/>
    <mergeCell ref="C130:G130"/>
    <mergeCell ref="C121:G121"/>
    <mergeCell ref="C124:G124"/>
    <mergeCell ref="C127:G127"/>
    <mergeCell ref="C96:G96"/>
    <mergeCell ref="C40:G40"/>
    <mergeCell ref="C59:G59"/>
    <mergeCell ref="C60:G60"/>
    <mergeCell ref="C61:G61"/>
    <mergeCell ref="C63:G63"/>
    <mergeCell ref="C50:G50"/>
    <mergeCell ref="C57:G57"/>
    <mergeCell ref="C53:G53"/>
    <mergeCell ref="C55:G55"/>
    <mergeCell ref="C54:G54"/>
    <mergeCell ref="C31:G31"/>
    <mergeCell ref="C32:G32"/>
    <mergeCell ref="C34:G34"/>
    <mergeCell ref="C37:G37"/>
    <mergeCell ref="C38:G38"/>
    <mergeCell ref="C66:G66"/>
    <mergeCell ref="C82:G82"/>
    <mergeCell ref="C88:G88"/>
    <mergeCell ref="C113:G113"/>
    <mergeCell ref="C119:G119"/>
    <mergeCell ref="C97:G97"/>
    <mergeCell ref="C101:G101"/>
    <mergeCell ref="C109:G109"/>
    <mergeCell ref="C110:G110"/>
    <mergeCell ref="C112:G112"/>
    <mergeCell ref="C67:G67"/>
    <mergeCell ref="C77:G77"/>
    <mergeCell ref="C69:G69"/>
  </mergeCells>
  <pageMargins left="0.59055118110236204" right="0.196850393700787" top="0.78740157499999996" bottom="0.78740157499999996" header="0.3" footer="0.3"/>
  <pageSetup paperSize="9" scale="88" fitToHeight="0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1:BH4899"/>
  <sheetViews>
    <sheetView workbookViewId="0">
      <pane ySplit="7" topLeftCell="A58" activePane="bottomLeft" state="frozen"/>
      <selection pane="bottomLeft" activeCell="E69" sqref="E69"/>
    </sheetView>
  </sheetViews>
  <sheetFormatPr defaultColWidth="8.85546875"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2" max="12" width="11.7109375" bestFit="1" customWidth="1"/>
    <col min="13" max="13" width="11.7109375" customWidth="1"/>
    <col min="14" max="17" width="0" hidden="1" customWidth="1"/>
    <col min="18" max="18" width="6.85546875" customWidth="1"/>
    <col min="20" max="20" width="8.42578125" customWidth="1"/>
    <col min="21" max="24" width="0" hidden="1" customWidth="1"/>
    <col min="25" max="25" width="10.140625" bestFit="1" customWidth="1"/>
    <col min="26" max="26" width="11.7109375" bestFit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12" t="s">
        <v>65</v>
      </c>
      <c r="B1" s="313"/>
      <c r="C1" s="313"/>
      <c r="D1" s="313"/>
      <c r="E1" s="313"/>
      <c r="F1" s="313"/>
      <c r="G1" s="313"/>
      <c r="H1" s="170"/>
      <c r="L1" s="174"/>
      <c r="AG1" t="s">
        <v>66</v>
      </c>
    </row>
    <row r="2" spans="1:60" ht="24.95" customHeight="1" x14ac:dyDescent="0.2">
      <c r="A2" s="171" t="s">
        <v>7</v>
      </c>
      <c r="B2" s="179" t="s">
        <v>246</v>
      </c>
      <c r="C2" s="317" t="s">
        <v>247</v>
      </c>
      <c r="D2" s="318"/>
      <c r="E2" s="318"/>
      <c r="F2" s="318"/>
      <c r="G2" s="318"/>
      <c r="H2" s="319"/>
      <c r="L2" s="174"/>
      <c r="AG2" t="s">
        <v>67</v>
      </c>
    </row>
    <row r="3" spans="1:60" ht="24.95" customHeight="1" x14ac:dyDescent="0.2">
      <c r="A3" s="171" t="s">
        <v>8</v>
      </c>
      <c r="B3" s="180" t="s">
        <v>325</v>
      </c>
      <c r="C3" s="314" t="s">
        <v>326</v>
      </c>
      <c r="D3" s="315"/>
      <c r="E3" s="315"/>
      <c r="F3" s="315"/>
      <c r="G3" s="316"/>
      <c r="H3" s="172"/>
      <c r="L3" s="174"/>
      <c r="AC3" s="123" t="s">
        <v>67</v>
      </c>
      <c r="AG3" t="s">
        <v>68</v>
      </c>
    </row>
    <row r="4" spans="1:60" ht="24.95" customHeight="1" x14ac:dyDescent="0.2">
      <c r="A4" s="173" t="s">
        <v>9</v>
      </c>
      <c r="B4" s="164" t="s">
        <v>246</v>
      </c>
      <c r="C4" s="320" t="s">
        <v>248</v>
      </c>
      <c r="D4" s="321"/>
      <c r="E4" s="321"/>
      <c r="F4" s="321"/>
      <c r="G4" s="321"/>
      <c r="H4" s="322"/>
      <c r="L4" s="174"/>
      <c r="AG4" t="s">
        <v>69</v>
      </c>
    </row>
    <row r="5" spans="1:60" x14ac:dyDescent="0.2">
      <c r="D5" s="10"/>
    </row>
    <row r="6" spans="1:60" ht="38.25" x14ac:dyDescent="0.2">
      <c r="A6" s="139" t="s">
        <v>70</v>
      </c>
      <c r="B6" s="141" t="s">
        <v>71</v>
      </c>
      <c r="C6" s="141" t="s">
        <v>72</v>
      </c>
      <c r="D6" s="140" t="s">
        <v>73</v>
      </c>
      <c r="E6" s="139" t="s">
        <v>74</v>
      </c>
      <c r="F6" s="138" t="s">
        <v>75</v>
      </c>
      <c r="G6" s="139" t="s">
        <v>28</v>
      </c>
      <c r="H6" s="142" t="s">
        <v>29</v>
      </c>
      <c r="I6" s="142" t="s">
        <v>76</v>
      </c>
      <c r="J6" s="142" t="s">
        <v>30</v>
      </c>
      <c r="K6" s="142" t="s">
        <v>77</v>
      </c>
      <c r="L6" s="142" t="s">
        <v>78</v>
      </c>
      <c r="M6" s="142" t="s">
        <v>79</v>
      </c>
      <c r="N6" s="142" t="s">
        <v>80</v>
      </c>
      <c r="O6" s="142" t="s">
        <v>81</v>
      </c>
      <c r="P6" s="142" t="s">
        <v>82</v>
      </c>
      <c r="Q6" s="142" t="s">
        <v>83</v>
      </c>
      <c r="R6" s="142" t="s">
        <v>84</v>
      </c>
      <c r="S6" s="142" t="s">
        <v>85</v>
      </c>
      <c r="T6" s="142" t="s">
        <v>86</v>
      </c>
      <c r="U6" s="142" t="s">
        <v>87</v>
      </c>
      <c r="V6" s="142" t="s">
        <v>88</v>
      </c>
      <c r="W6" s="142" t="s">
        <v>89</v>
      </c>
      <c r="X6" s="142" t="s">
        <v>90</v>
      </c>
    </row>
    <row r="7" spans="1:60" hidden="1" x14ac:dyDescent="0.2">
      <c r="A7" s="3"/>
      <c r="B7" s="4"/>
      <c r="C7" s="4"/>
      <c r="D7" s="6"/>
      <c r="E7" s="144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8" spans="1:60" outlineLevel="1" x14ac:dyDescent="0.2">
      <c r="A8" s="148" t="s">
        <v>91</v>
      </c>
      <c r="B8" s="149" t="s">
        <v>52</v>
      </c>
      <c r="C8" s="156" t="s">
        <v>53</v>
      </c>
      <c r="D8" s="150"/>
      <c r="E8" s="151"/>
      <c r="F8" s="152"/>
      <c r="G8" s="152">
        <f>SUMIF(AG9:AG35,"&lt;&gt;NOR",G9:G35)</f>
        <v>0</v>
      </c>
      <c r="H8" s="152"/>
      <c r="I8" s="152">
        <f>SUM(I9:I35)</f>
        <v>449.03</v>
      </c>
      <c r="J8" s="152"/>
      <c r="K8" s="152">
        <f>SUM(K9:K35)</f>
        <v>56273.750000000007</v>
      </c>
      <c r="L8" s="152"/>
      <c r="M8" s="152">
        <f>SUM(M9:M35)</f>
        <v>0</v>
      </c>
      <c r="N8" s="152"/>
      <c r="O8" s="152">
        <f>SUM(O9:O35)</f>
        <v>0.56999999999999995</v>
      </c>
      <c r="P8" s="152"/>
      <c r="Q8" s="152">
        <f>SUM(Q9:Q35)</f>
        <v>0</v>
      </c>
      <c r="R8" s="152"/>
      <c r="S8" s="152"/>
      <c r="T8" s="153"/>
      <c r="U8" s="146"/>
      <c r="V8" s="146"/>
      <c r="W8" s="146"/>
      <c r="X8" s="146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</row>
    <row r="9" spans="1:60" outlineLevel="1" x14ac:dyDescent="0.2">
      <c r="A9" s="182">
        <v>1</v>
      </c>
      <c r="B9" s="191" t="s">
        <v>327</v>
      </c>
      <c r="C9" s="192" t="s">
        <v>328</v>
      </c>
      <c r="D9" s="183" t="s">
        <v>115</v>
      </c>
      <c r="E9" s="175">
        <f>0.4*0.8*35+0.6*1.1*245</f>
        <v>172.90000000000003</v>
      </c>
      <c r="F9" s="194"/>
      <c r="G9" s="184">
        <f>ROUND(E9*F9,2)</f>
        <v>0</v>
      </c>
      <c r="H9" s="194">
        <v>0</v>
      </c>
      <c r="I9" s="184">
        <f>ROUND(E9*H9,2)</f>
        <v>0</v>
      </c>
      <c r="J9" s="194">
        <v>38.299999999999997</v>
      </c>
      <c r="K9" s="184">
        <f>ROUND(E9*J9,2)</f>
        <v>6622.07</v>
      </c>
      <c r="L9" s="184">
        <v>21</v>
      </c>
      <c r="M9" s="184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4" t="s">
        <v>114</v>
      </c>
      <c r="S9" s="184" t="s">
        <v>324</v>
      </c>
      <c r="T9" s="184" t="s">
        <v>324</v>
      </c>
      <c r="U9" s="146">
        <v>0</v>
      </c>
      <c r="V9" s="146">
        <f>ROUND(E9*U9,2)</f>
        <v>0</v>
      </c>
      <c r="W9" s="146"/>
      <c r="X9" s="146" t="s">
        <v>110</v>
      </c>
      <c r="Y9" s="143"/>
      <c r="Z9" s="143"/>
      <c r="AA9" s="143"/>
      <c r="AB9" s="143"/>
      <c r="AC9" s="143"/>
      <c r="AD9" s="143"/>
      <c r="AE9" s="143"/>
      <c r="AF9" s="143"/>
      <c r="AG9" s="143" t="s">
        <v>111</v>
      </c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</row>
    <row r="10" spans="1:60" outlineLevel="1" x14ac:dyDescent="0.2">
      <c r="A10" s="193"/>
      <c r="B10" s="190"/>
      <c r="C10" s="300" t="s">
        <v>329</v>
      </c>
      <c r="D10" s="300"/>
      <c r="E10" s="300"/>
      <c r="F10" s="300"/>
      <c r="G10" s="300"/>
      <c r="H10" s="165"/>
      <c r="I10" s="146"/>
      <c r="J10" s="165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3"/>
      <c r="Z10" s="143"/>
      <c r="AA10" s="143"/>
      <c r="AB10" s="143"/>
      <c r="AC10" s="143"/>
      <c r="AD10" s="143"/>
      <c r="AE10" s="143"/>
      <c r="AF10" s="143"/>
      <c r="AG10" s="143" t="s">
        <v>93</v>
      </c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</row>
    <row r="11" spans="1:60" x14ac:dyDescent="0.2">
      <c r="A11" s="193"/>
      <c r="B11" s="190"/>
      <c r="C11" s="199"/>
      <c r="D11" s="199"/>
      <c r="E11" s="199"/>
      <c r="F11" s="199"/>
      <c r="G11" s="199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7"/>
      <c r="V11" s="147">
        <f>SUM(V14:V79)</f>
        <v>0</v>
      </c>
      <c r="W11" s="147"/>
      <c r="X11" s="147"/>
      <c r="Y11" s="84"/>
      <c r="AG11" t="s">
        <v>92</v>
      </c>
    </row>
    <row r="12" spans="1:60" x14ac:dyDescent="0.2">
      <c r="A12" s="182">
        <v>2</v>
      </c>
      <c r="B12" s="191" t="s">
        <v>173</v>
      </c>
      <c r="C12" s="192" t="s">
        <v>174</v>
      </c>
      <c r="D12" s="183" t="s">
        <v>115</v>
      </c>
      <c r="E12" s="175">
        <v>7.8</v>
      </c>
      <c r="F12" s="194"/>
      <c r="G12" s="184">
        <f>ROUND(E12*F12,2)</f>
        <v>0</v>
      </c>
      <c r="H12" s="194">
        <v>0</v>
      </c>
      <c r="I12" s="184">
        <f>ROUND(E12*H12,2)</f>
        <v>0</v>
      </c>
      <c r="J12" s="194">
        <v>1273</v>
      </c>
      <c r="K12" s="184">
        <f>ROUND(E12*J12,2)</f>
        <v>9929.4</v>
      </c>
      <c r="L12" s="184">
        <v>21</v>
      </c>
      <c r="M12" s="184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4" t="s">
        <v>114</v>
      </c>
      <c r="S12" s="184" t="s">
        <v>324</v>
      </c>
      <c r="T12" s="184" t="s">
        <v>324</v>
      </c>
      <c r="U12" s="147"/>
      <c r="V12" s="147"/>
      <c r="W12" s="147"/>
      <c r="X12" s="147"/>
      <c r="Y12" s="84"/>
    </row>
    <row r="13" spans="1:60" x14ac:dyDescent="0.2">
      <c r="A13" s="193"/>
      <c r="B13" s="190"/>
      <c r="C13" s="300" t="s">
        <v>175</v>
      </c>
      <c r="D13" s="300"/>
      <c r="E13" s="300"/>
      <c r="F13" s="300"/>
      <c r="G13" s="300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7"/>
      <c r="V13" s="147"/>
      <c r="W13" s="147"/>
      <c r="X13" s="147"/>
      <c r="Y13" s="84"/>
    </row>
    <row r="14" spans="1:60" outlineLevel="1" x14ac:dyDescent="0.2">
      <c r="A14" s="193"/>
      <c r="B14" s="190"/>
      <c r="C14" s="195"/>
      <c r="D14" s="196"/>
      <c r="E14" s="196"/>
      <c r="F14" s="196"/>
      <c r="G14" s="19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>
        <v>2.5999999999999999E-2</v>
      </c>
      <c r="V14" s="146">
        <f>ROUND(E14*U14,2)</f>
        <v>0</v>
      </c>
      <c r="W14" s="146"/>
      <c r="X14" s="146" t="s">
        <v>110</v>
      </c>
      <c r="Y14" s="143"/>
      <c r="Z14" s="143"/>
      <c r="AA14" s="143"/>
      <c r="AB14" s="143"/>
      <c r="AC14" s="143"/>
      <c r="AD14" s="143"/>
      <c r="AE14" s="143"/>
      <c r="AF14" s="143"/>
      <c r="AG14" s="143" t="s">
        <v>111</v>
      </c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</row>
    <row r="15" spans="1:60" ht="22.5" outlineLevel="1" x14ac:dyDescent="0.2">
      <c r="A15" s="182">
        <v>3</v>
      </c>
      <c r="B15" s="191" t="s">
        <v>117</v>
      </c>
      <c r="C15" s="192" t="s">
        <v>118</v>
      </c>
      <c r="D15" s="183" t="s">
        <v>115</v>
      </c>
      <c r="E15" s="175">
        <f>E9-E19</f>
        <v>64.400000000000034</v>
      </c>
      <c r="F15" s="194"/>
      <c r="G15" s="184">
        <f>ROUND(E15*F15,2)</f>
        <v>0</v>
      </c>
      <c r="H15" s="194">
        <v>0</v>
      </c>
      <c r="I15" s="184">
        <f>ROUND(E15*H15,2)</f>
        <v>0</v>
      </c>
      <c r="J15" s="194">
        <v>259.5</v>
      </c>
      <c r="K15" s="184">
        <f>ROUND(E15*J15,2)</f>
        <v>16711.8</v>
      </c>
      <c r="L15" s="184">
        <v>21</v>
      </c>
      <c r="M15" s="184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4" t="s">
        <v>114</v>
      </c>
      <c r="S15" s="184" t="s">
        <v>324</v>
      </c>
      <c r="T15" s="184" t="s">
        <v>324</v>
      </c>
      <c r="U15" s="146"/>
      <c r="V15" s="146"/>
      <c r="W15" s="146"/>
      <c r="X15" s="146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</row>
    <row r="16" spans="1:60" outlineLevel="1" x14ac:dyDescent="0.2">
      <c r="A16" s="193"/>
      <c r="B16" s="190"/>
      <c r="C16" s="300" t="s">
        <v>119</v>
      </c>
      <c r="D16" s="301"/>
      <c r="E16" s="301"/>
      <c r="F16" s="301"/>
      <c r="G16" s="301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</row>
    <row r="17" spans="1:60" ht="24" customHeight="1" outlineLevel="1" x14ac:dyDescent="0.2">
      <c r="A17" s="193"/>
      <c r="B17" s="190"/>
      <c r="C17" s="308" t="s">
        <v>330</v>
      </c>
      <c r="D17" s="309"/>
      <c r="E17" s="309"/>
      <c r="F17" s="309"/>
      <c r="G17" s="309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3"/>
      <c r="Z17" s="143"/>
      <c r="AA17" s="143"/>
      <c r="AB17" s="143"/>
      <c r="AC17" s="143"/>
      <c r="AD17" s="143"/>
      <c r="AE17" s="143"/>
      <c r="AF17" s="143"/>
      <c r="AG17" s="143" t="s">
        <v>93</v>
      </c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</row>
    <row r="18" spans="1:60" outlineLevel="1" x14ac:dyDescent="0.2">
      <c r="A18" s="193"/>
      <c r="B18" s="190"/>
      <c r="C18" s="307"/>
      <c r="D18" s="307"/>
      <c r="E18" s="307"/>
      <c r="F18" s="307"/>
      <c r="G18" s="307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</row>
    <row r="19" spans="1:60" ht="22.5" outlineLevel="1" x14ac:dyDescent="0.2">
      <c r="A19" s="182">
        <f>A15+1</f>
        <v>4</v>
      </c>
      <c r="B19" s="191" t="s">
        <v>193</v>
      </c>
      <c r="C19" s="192" t="s">
        <v>282</v>
      </c>
      <c r="D19" s="183" t="s">
        <v>115</v>
      </c>
      <c r="E19" s="175">
        <f>0.4*0.4*35+0.6*0.7*245</f>
        <v>108.5</v>
      </c>
      <c r="F19" s="194"/>
      <c r="G19" s="184">
        <f>ROUND(E19*F19,2)</f>
        <v>0</v>
      </c>
      <c r="H19" s="194">
        <v>0</v>
      </c>
      <c r="I19" s="184">
        <v>0</v>
      </c>
      <c r="J19" s="194">
        <v>124</v>
      </c>
      <c r="K19" s="184">
        <v>0</v>
      </c>
      <c r="L19" s="184">
        <v>21</v>
      </c>
      <c r="M19" s="184">
        <f>G19*1.21</f>
        <v>0</v>
      </c>
      <c r="N19" s="184">
        <v>0</v>
      </c>
      <c r="O19" s="184">
        <v>0</v>
      </c>
      <c r="P19" s="184">
        <v>0</v>
      </c>
      <c r="Q19" s="184">
        <v>0</v>
      </c>
      <c r="R19" s="184" t="s">
        <v>114</v>
      </c>
      <c r="S19" s="184" t="s">
        <v>324</v>
      </c>
      <c r="T19" s="184" t="s">
        <v>324</v>
      </c>
      <c r="U19" s="146"/>
      <c r="V19" s="146"/>
      <c r="W19" s="146"/>
      <c r="X19" s="146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</row>
    <row r="20" spans="1:60" outlineLevel="1" x14ac:dyDescent="0.2">
      <c r="A20" s="193"/>
      <c r="B20" s="190"/>
      <c r="C20" s="300" t="s">
        <v>194</v>
      </c>
      <c r="D20" s="301"/>
      <c r="E20" s="301"/>
      <c r="F20" s="301"/>
      <c r="G20" s="301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3"/>
      <c r="Z20" s="143"/>
      <c r="AA20" s="143"/>
      <c r="AB20" s="143"/>
      <c r="AC20" s="143"/>
      <c r="AD20" s="143"/>
      <c r="AE20" s="143"/>
      <c r="AF20" s="143"/>
      <c r="AG20" s="143" t="s">
        <v>93</v>
      </c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</row>
    <row r="21" spans="1:60" outlineLevel="1" x14ac:dyDescent="0.2">
      <c r="A21" s="193"/>
      <c r="B21" s="190"/>
      <c r="C21" s="308" t="s">
        <v>283</v>
      </c>
      <c r="D21" s="309"/>
      <c r="E21" s="309"/>
      <c r="F21" s="309"/>
      <c r="G21" s="309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</row>
    <row r="22" spans="1:60" outlineLevel="1" x14ac:dyDescent="0.2">
      <c r="A22" s="193"/>
      <c r="B22" s="190"/>
      <c r="C22" s="195"/>
      <c r="D22" s="196"/>
      <c r="E22" s="196"/>
      <c r="F22" s="196"/>
      <c r="G22" s="19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</row>
    <row r="23" spans="1:60" outlineLevel="1" x14ac:dyDescent="0.2">
      <c r="A23" s="182">
        <f>A19+1</f>
        <v>5</v>
      </c>
      <c r="B23" s="191" t="s">
        <v>331</v>
      </c>
      <c r="C23" s="192" t="s">
        <v>332</v>
      </c>
      <c r="D23" s="183" t="s">
        <v>95</v>
      </c>
      <c r="E23" s="175">
        <v>12</v>
      </c>
      <c r="F23" s="194"/>
      <c r="G23" s="184">
        <f>E23*F23</f>
        <v>0</v>
      </c>
      <c r="H23" s="194">
        <v>0</v>
      </c>
      <c r="I23" s="184">
        <v>0</v>
      </c>
      <c r="J23" s="194">
        <v>124</v>
      </c>
      <c r="K23" s="184">
        <v>0</v>
      </c>
      <c r="L23" s="184">
        <v>21</v>
      </c>
      <c r="M23" s="184">
        <f>G23*1.21</f>
        <v>0</v>
      </c>
      <c r="N23" s="184">
        <v>0</v>
      </c>
      <c r="O23" s="184">
        <v>0</v>
      </c>
      <c r="P23" s="184">
        <v>0</v>
      </c>
      <c r="Q23" s="184">
        <v>0</v>
      </c>
      <c r="R23" s="184" t="s">
        <v>114</v>
      </c>
      <c r="S23" s="184" t="s">
        <v>324</v>
      </c>
      <c r="T23" s="184" t="s">
        <v>324</v>
      </c>
      <c r="U23" s="146"/>
      <c r="V23" s="146"/>
      <c r="W23" s="146"/>
      <c r="X23" s="146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</row>
    <row r="24" spans="1:60" outlineLevel="1" x14ac:dyDescent="0.2">
      <c r="A24" s="193"/>
      <c r="B24" s="190"/>
      <c r="C24" s="300" t="s">
        <v>333</v>
      </c>
      <c r="D24" s="300"/>
      <c r="E24" s="300"/>
      <c r="F24" s="300"/>
      <c r="G24" s="300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</row>
    <row r="25" spans="1:60" outlineLevel="1" x14ac:dyDescent="0.2">
      <c r="A25" s="193"/>
      <c r="B25" s="190"/>
      <c r="C25" s="195"/>
      <c r="D25" s="196"/>
      <c r="E25" s="196"/>
      <c r="F25" s="196"/>
      <c r="G25" s="19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</row>
    <row r="26" spans="1:60" outlineLevel="1" x14ac:dyDescent="0.2">
      <c r="A26" s="182">
        <f>A23+1</f>
        <v>6</v>
      </c>
      <c r="B26" s="191" t="s">
        <v>334</v>
      </c>
      <c r="C26" s="192" t="s">
        <v>335</v>
      </c>
      <c r="D26" s="183" t="s">
        <v>126</v>
      </c>
      <c r="E26" s="175">
        <v>1.5</v>
      </c>
      <c r="F26" s="194"/>
      <c r="G26" s="184">
        <f>ROUND(E26*F26,2)</f>
        <v>0</v>
      </c>
      <c r="H26" s="194">
        <v>164.95</v>
      </c>
      <c r="I26" s="184">
        <f>ROUND(E26*H26,2)</f>
        <v>247.43</v>
      </c>
      <c r="J26" s="194">
        <v>26.05</v>
      </c>
      <c r="K26" s="184">
        <f>ROUND(E26*J26,2)</f>
        <v>39.08</v>
      </c>
      <c r="L26" s="184">
        <v>21</v>
      </c>
      <c r="M26" s="184">
        <f>G26*(1+L26/100)</f>
        <v>0</v>
      </c>
      <c r="N26" s="184">
        <v>0.378</v>
      </c>
      <c r="O26" s="184">
        <f>ROUND(E26*N26,2)</f>
        <v>0.56999999999999995</v>
      </c>
      <c r="P26" s="184">
        <v>0</v>
      </c>
      <c r="Q26" s="184">
        <f>ROUND(E26*P26,2)</f>
        <v>0</v>
      </c>
      <c r="R26" s="184" t="s">
        <v>109</v>
      </c>
      <c r="S26" s="184" t="s">
        <v>324</v>
      </c>
      <c r="T26" s="184" t="s">
        <v>324</v>
      </c>
      <c r="U26" s="146"/>
      <c r="V26" s="146"/>
      <c r="W26" s="146"/>
      <c r="X26" s="146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</row>
    <row r="27" spans="1:60" outlineLevel="1" x14ac:dyDescent="0.2">
      <c r="A27" s="193"/>
      <c r="B27" s="190"/>
      <c r="C27" s="195"/>
      <c r="D27" s="196"/>
      <c r="E27" s="196"/>
      <c r="F27" s="196"/>
      <c r="G27" s="19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</row>
    <row r="28" spans="1:60" outlineLevel="1" x14ac:dyDescent="0.2">
      <c r="A28" s="182">
        <v>7</v>
      </c>
      <c r="B28" s="191" t="s">
        <v>121</v>
      </c>
      <c r="C28" s="192" t="s">
        <v>158</v>
      </c>
      <c r="D28" s="183" t="s">
        <v>98</v>
      </c>
      <c r="E28" s="175">
        <v>120</v>
      </c>
      <c r="F28" s="194"/>
      <c r="G28" s="184">
        <f>ROUND(E28*F28,2)</f>
        <v>0</v>
      </c>
      <c r="H28" s="194">
        <v>1.68</v>
      </c>
      <c r="I28" s="184">
        <f>ROUND(E28*H28,2)</f>
        <v>201.6</v>
      </c>
      <c r="J28" s="194">
        <v>22.42</v>
      </c>
      <c r="K28" s="184">
        <f>ROUND(E28*J28,2)</f>
        <v>2690.4</v>
      </c>
      <c r="L28" s="184">
        <v>21</v>
      </c>
      <c r="M28" s="184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4" t="s">
        <v>122</v>
      </c>
      <c r="S28" s="184" t="s">
        <v>324</v>
      </c>
      <c r="T28" s="184" t="s">
        <v>324</v>
      </c>
      <c r="U28" s="146"/>
      <c r="V28" s="146"/>
      <c r="W28" s="146"/>
      <c r="X28" s="146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</row>
    <row r="29" spans="1:60" ht="13.15" customHeight="1" outlineLevel="1" x14ac:dyDescent="0.2">
      <c r="A29" s="193"/>
      <c r="B29" s="190"/>
      <c r="C29" s="300" t="s">
        <v>123</v>
      </c>
      <c r="D29" s="301"/>
      <c r="E29" s="301"/>
      <c r="F29" s="301"/>
      <c r="G29" s="301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</row>
    <row r="30" spans="1:60" outlineLevel="1" x14ac:dyDescent="0.2">
      <c r="A30" s="193"/>
      <c r="B30" s="190"/>
      <c r="C30" s="305"/>
      <c r="D30" s="306"/>
      <c r="E30" s="306"/>
      <c r="F30" s="306"/>
      <c r="G30" s="30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</row>
    <row r="31" spans="1:60" outlineLevel="1" x14ac:dyDescent="0.2">
      <c r="A31" s="182">
        <v>8</v>
      </c>
      <c r="B31" s="191" t="s">
        <v>185</v>
      </c>
      <c r="C31" s="192" t="s">
        <v>177</v>
      </c>
      <c r="D31" s="183" t="s">
        <v>98</v>
      </c>
      <c r="E31" s="175">
        <v>120</v>
      </c>
      <c r="F31" s="194"/>
      <c r="G31" s="184">
        <f>ROUND(E31*F31,2)</f>
        <v>0</v>
      </c>
      <c r="H31" s="194">
        <v>0</v>
      </c>
      <c r="I31" s="184">
        <f>ROUND(E31*H31,2)</f>
        <v>0</v>
      </c>
      <c r="J31" s="194">
        <v>17.399999999999999</v>
      </c>
      <c r="K31" s="184">
        <f>ROUND(E31*J31,2)</f>
        <v>2088</v>
      </c>
      <c r="L31" s="184">
        <v>21</v>
      </c>
      <c r="M31" s="184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4" t="s">
        <v>176</v>
      </c>
      <c r="S31" s="184" t="s">
        <v>324</v>
      </c>
      <c r="T31" s="184" t="s">
        <v>324</v>
      </c>
      <c r="U31" s="146"/>
      <c r="V31" s="146"/>
      <c r="W31" s="146"/>
      <c r="X31" s="146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</row>
    <row r="32" spans="1:60" outlineLevel="1" x14ac:dyDescent="0.2">
      <c r="A32" s="193"/>
      <c r="B32" s="190"/>
      <c r="C32" s="300" t="s">
        <v>178</v>
      </c>
      <c r="D32" s="301"/>
      <c r="E32" s="301"/>
      <c r="F32" s="301"/>
      <c r="G32" s="301"/>
      <c r="H32" s="165"/>
      <c r="I32" s="146"/>
      <c r="J32" s="165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</row>
    <row r="33" spans="1:60" outlineLevel="1" x14ac:dyDescent="0.2">
      <c r="A33" s="193"/>
      <c r="B33" s="190"/>
      <c r="C33" s="195"/>
      <c r="D33" s="196"/>
      <c r="E33" s="196"/>
      <c r="F33" s="196"/>
      <c r="G33" s="19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</row>
    <row r="34" spans="1:60" outlineLevel="1" x14ac:dyDescent="0.2">
      <c r="A34" s="182">
        <v>9</v>
      </c>
      <c r="B34" s="191" t="s">
        <v>336</v>
      </c>
      <c r="C34" s="192" t="s">
        <v>125</v>
      </c>
      <c r="D34" s="183" t="s">
        <v>115</v>
      </c>
      <c r="E34" s="175">
        <f>E15</f>
        <v>64.400000000000034</v>
      </c>
      <c r="F34" s="194"/>
      <c r="G34" s="184">
        <f>ROUND(E34*F34,2)</f>
        <v>0</v>
      </c>
      <c r="H34" s="194">
        <v>0</v>
      </c>
      <c r="I34" s="184">
        <f>ROUND(E34*H34,2)</f>
        <v>0</v>
      </c>
      <c r="J34" s="194">
        <v>282.5</v>
      </c>
      <c r="K34" s="184">
        <f>ROUND(E34*J34,2)</f>
        <v>18193</v>
      </c>
      <c r="L34" s="184">
        <v>21</v>
      </c>
      <c r="M34" s="184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4" t="s">
        <v>114</v>
      </c>
      <c r="S34" s="184" t="s">
        <v>324</v>
      </c>
      <c r="T34" s="184" t="s">
        <v>324</v>
      </c>
      <c r="U34" s="146"/>
      <c r="V34" s="146"/>
      <c r="W34" s="146"/>
      <c r="X34" s="146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</row>
    <row r="35" spans="1:60" outlineLevel="1" x14ac:dyDescent="0.2">
      <c r="A35" s="193"/>
      <c r="B35" s="190"/>
      <c r="C35" s="304"/>
      <c r="D35" s="304"/>
      <c r="E35" s="304"/>
      <c r="F35" s="304"/>
      <c r="G35" s="304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</row>
    <row r="36" spans="1:60" outlineLevel="1" x14ac:dyDescent="0.2">
      <c r="A36" s="148" t="s">
        <v>91</v>
      </c>
      <c r="B36" s="149" t="s">
        <v>337</v>
      </c>
      <c r="C36" s="156" t="s">
        <v>338</v>
      </c>
      <c r="D36" s="150"/>
      <c r="E36" s="151"/>
      <c r="F36" s="152"/>
      <c r="G36" s="152">
        <f>SUMIF(AG37:AG39,"&lt;&gt;NOR",G37:G39)</f>
        <v>0</v>
      </c>
      <c r="H36" s="152"/>
      <c r="I36" s="152">
        <f>SUM(I37:I39)</f>
        <v>18492.240000000002</v>
      </c>
      <c r="J36" s="152"/>
      <c r="K36" s="152">
        <f>SUM(K37:K39)</f>
        <v>18622.759999999998</v>
      </c>
      <c r="L36" s="152"/>
      <c r="M36" s="152">
        <f>SUM(M37:M39)</f>
        <v>0</v>
      </c>
      <c r="N36" s="152"/>
      <c r="O36" s="152">
        <f>SUM(O37:O39)</f>
        <v>17.920000000000002</v>
      </c>
      <c r="P36" s="152"/>
      <c r="Q36" s="152">
        <f>SUM(Q37:Q39)</f>
        <v>0</v>
      </c>
      <c r="R36" s="152"/>
      <c r="S36" s="152"/>
      <c r="T36" s="153"/>
      <c r="U36" s="146"/>
      <c r="V36" s="146"/>
      <c r="W36" s="146"/>
      <c r="X36" s="146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</row>
    <row r="37" spans="1:60" outlineLevel="1" x14ac:dyDescent="0.2">
      <c r="A37" s="182">
        <v>10</v>
      </c>
      <c r="B37" s="191" t="s">
        <v>339</v>
      </c>
      <c r="C37" s="192" t="s">
        <v>340</v>
      </c>
      <c r="D37" s="183" t="s">
        <v>115</v>
      </c>
      <c r="E37" s="175">
        <f>1.7+4.8</f>
        <v>6.5</v>
      </c>
      <c r="F37" s="194"/>
      <c r="G37" s="184">
        <f>ROUND(E37*F37,2)</f>
        <v>0</v>
      </c>
      <c r="H37" s="194">
        <v>2844.96</v>
      </c>
      <c r="I37" s="184">
        <f>ROUND(E37*H37,2)</f>
        <v>18492.240000000002</v>
      </c>
      <c r="J37" s="194">
        <v>2865.04</v>
      </c>
      <c r="K37" s="184">
        <f>ROUND(E37*J37,2)</f>
        <v>18622.759999999998</v>
      </c>
      <c r="L37" s="184">
        <v>21</v>
      </c>
      <c r="M37" s="184">
        <f>G37*(1+L37/100)</f>
        <v>0</v>
      </c>
      <c r="N37" s="184">
        <v>2.7563499999999999</v>
      </c>
      <c r="O37" s="184">
        <f>ROUND(E37*N37,2)</f>
        <v>17.920000000000002</v>
      </c>
      <c r="P37" s="184">
        <v>0</v>
      </c>
      <c r="Q37" s="184">
        <f>ROUND(E37*P37,2)</f>
        <v>0</v>
      </c>
      <c r="R37" s="184" t="s">
        <v>341</v>
      </c>
      <c r="S37" s="184" t="s">
        <v>324</v>
      </c>
      <c r="T37" s="184" t="s">
        <v>324</v>
      </c>
      <c r="U37" s="146"/>
      <c r="V37" s="146"/>
      <c r="W37" s="146"/>
      <c r="X37" s="146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</row>
    <row r="38" spans="1:60" outlineLevel="1" x14ac:dyDescent="0.2">
      <c r="A38" s="193"/>
      <c r="B38" s="190"/>
      <c r="C38" s="166" t="s">
        <v>342</v>
      </c>
      <c r="D38" s="167"/>
      <c r="E38" s="168"/>
      <c r="F38" s="177"/>
      <c r="G38" s="169"/>
      <c r="H38" s="165"/>
      <c r="I38" s="146"/>
      <c r="J38" s="165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</row>
    <row r="39" spans="1:60" outlineLevel="1" x14ac:dyDescent="0.2">
      <c r="A39" s="193"/>
      <c r="B39" s="190"/>
      <c r="C39" s="307"/>
      <c r="D39" s="307"/>
      <c r="E39" s="307"/>
      <c r="F39" s="307"/>
      <c r="G39" s="307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</row>
    <row r="40" spans="1:60" outlineLevel="1" x14ac:dyDescent="0.2">
      <c r="A40" s="148" t="s">
        <v>91</v>
      </c>
      <c r="B40" s="149" t="s">
        <v>343</v>
      </c>
      <c r="C40" s="156" t="s">
        <v>344</v>
      </c>
      <c r="D40" s="150"/>
      <c r="E40" s="151"/>
      <c r="F40" s="152"/>
      <c r="G40" s="152">
        <f>G41+G44</f>
        <v>0</v>
      </c>
      <c r="H40" s="152"/>
      <c r="I40" s="152">
        <f>SUM(I41:I43)</f>
        <v>65280.11</v>
      </c>
      <c r="J40" s="152"/>
      <c r="K40" s="152">
        <f>SUM(K41:K43)</f>
        <v>52984.89</v>
      </c>
      <c r="L40" s="152"/>
      <c r="M40" s="152">
        <f>M41+M44</f>
        <v>0</v>
      </c>
      <c r="N40" s="152"/>
      <c r="O40" s="152">
        <f>SUM(O41:O43)</f>
        <v>205.15</v>
      </c>
      <c r="P40" s="152"/>
      <c r="Q40" s="152">
        <f>SUM(Q41:Q43)</f>
        <v>0</v>
      </c>
      <c r="R40" s="152"/>
      <c r="S40" s="152"/>
      <c r="T40" s="153"/>
      <c r="U40" s="146"/>
      <c r="V40" s="146"/>
      <c r="W40" s="146"/>
      <c r="X40" s="146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</row>
    <row r="41" spans="1:60" outlineLevel="1" x14ac:dyDescent="0.2">
      <c r="A41" s="182">
        <v>11</v>
      </c>
      <c r="B41" s="191" t="s">
        <v>345</v>
      </c>
      <c r="C41" s="192" t="s">
        <v>346</v>
      </c>
      <c r="D41" s="183" t="s">
        <v>115</v>
      </c>
      <c r="E41" s="175">
        <f>E19</f>
        <v>108.5</v>
      </c>
      <c r="F41" s="194"/>
      <c r="G41" s="184">
        <f>ROUND(E41*F41,2)</f>
        <v>0</v>
      </c>
      <c r="H41" s="194">
        <v>601.66</v>
      </c>
      <c r="I41" s="184">
        <f>ROUND(E41*H41,2)</f>
        <v>65280.11</v>
      </c>
      <c r="J41" s="194">
        <v>488.34</v>
      </c>
      <c r="K41" s="184">
        <f>ROUND(E41*J41,2)</f>
        <v>52984.89</v>
      </c>
      <c r="L41" s="184">
        <v>21</v>
      </c>
      <c r="M41" s="184">
        <f>G41*(1+L41/100)</f>
        <v>0</v>
      </c>
      <c r="N41" s="184">
        <v>1.8907700000000001</v>
      </c>
      <c r="O41" s="184">
        <f>ROUND(E41*N41,2)</f>
        <v>205.15</v>
      </c>
      <c r="P41" s="184">
        <v>0</v>
      </c>
      <c r="Q41" s="184">
        <f>ROUND(E41*P41,2)</f>
        <v>0</v>
      </c>
      <c r="R41" s="184" t="s">
        <v>195</v>
      </c>
      <c r="S41" s="184" t="s">
        <v>324</v>
      </c>
      <c r="T41" s="184" t="s">
        <v>324</v>
      </c>
      <c r="U41" s="146"/>
      <c r="V41" s="146"/>
      <c r="W41" s="146"/>
      <c r="X41" s="146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</row>
    <row r="42" spans="1:60" outlineLevel="1" x14ac:dyDescent="0.2">
      <c r="A42" s="193"/>
      <c r="B42" s="190"/>
      <c r="C42" s="300" t="s">
        <v>347</v>
      </c>
      <c r="D42" s="301"/>
      <c r="E42" s="301"/>
      <c r="F42" s="301"/>
      <c r="G42" s="301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</row>
    <row r="43" spans="1:60" outlineLevel="1" x14ac:dyDescent="0.2">
      <c r="A43" s="193"/>
      <c r="B43" s="190"/>
      <c r="C43" s="305"/>
      <c r="D43" s="306"/>
      <c r="E43" s="306"/>
      <c r="F43" s="306"/>
      <c r="G43" s="30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</row>
    <row r="44" spans="1:60" outlineLevel="1" x14ac:dyDescent="0.2">
      <c r="A44" s="182">
        <v>12</v>
      </c>
      <c r="B44" s="191" t="s">
        <v>348</v>
      </c>
      <c r="C44" s="192" t="s">
        <v>349</v>
      </c>
      <c r="D44" s="183" t="s">
        <v>126</v>
      </c>
      <c r="E44" s="175">
        <f>E41*1.8</f>
        <v>195.3</v>
      </c>
      <c r="F44" s="194"/>
      <c r="G44" s="184">
        <f>ROUND(E44*F44,2)</f>
        <v>0</v>
      </c>
      <c r="H44" s="194">
        <v>601.66</v>
      </c>
      <c r="I44" s="184">
        <f>ROUND(E44*H44,2)</f>
        <v>117504.2</v>
      </c>
      <c r="J44" s="194">
        <v>488.34</v>
      </c>
      <c r="K44" s="184">
        <f>ROUND(E44*J44,2)</f>
        <v>95372.800000000003</v>
      </c>
      <c r="L44" s="184">
        <v>21</v>
      </c>
      <c r="M44" s="184">
        <f>G44*(1+L44/100)</f>
        <v>0</v>
      </c>
      <c r="N44" s="184">
        <v>1.8907700000000001</v>
      </c>
      <c r="O44" s="184">
        <f>ROUND(E44*N44,2)</f>
        <v>369.27</v>
      </c>
      <c r="P44" s="184">
        <v>0</v>
      </c>
      <c r="Q44" s="184">
        <f>ROUND(E44*P44,2)</f>
        <v>0</v>
      </c>
      <c r="R44" s="184" t="s">
        <v>195</v>
      </c>
      <c r="S44" s="184" t="s">
        <v>324</v>
      </c>
      <c r="T44" s="184" t="s">
        <v>101</v>
      </c>
      <c r="U44" s="146"/>
      <c r="V44" s="146"/>
      <c r="W44" s="146"/>
      <c r="X44" s="146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</row>
    <row r="45" spans="1:60" outlineLevel="1" x14ac:dyDescent="0.2">
      <c r="A45" s="193"/>
      <c r="B45" s="190"/>
      <c r="C45" s="195"/>
      <c r="D45" s="196"/>
      <c r="E45" s="196"/>
      <c r="F45" s="196"/>
      <c r="G45" s="19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</row>
    <row r="46" spans="1:60" outlineLevel="1" x14ac:dyDescent="0.2">
      <c r="A46" s="148" t="s">
        <v>91</v>
      </c>
      <c r="B46" s="149" t="s">
        <v>350</v>
      </c>
      <c r="C46" s="156" t="s">
        <v>351</v>
      </c>
      <c r="D46" s="150"/>
      <c r="E46" s="151"/>
      <c r="F46" s="152"/>
      <c r="G46" s="152">
        <f>SUMIF(AG47:AG74,"&lt;&gt;NOR",G47:G74)</f>
        <v>0</v>
      </c>
      <c r="H46" s="152"/>
      <c r="I46" s="152">
        <f>SUM(I47:I74)</f>
        <v>66648.66</v>
      </c>
      <c r="J46" s="152"/>
      <c r="K46" s="152">
        <f>SUM(K47:K74)</f>
        <v>106697.73999999999</v>
      </c>
      <c r="L46" s="152"/>
      <c r="M46" s="152">
        <f>SUM(M47:M74)</f>
        <v>0</v>
      </c>
      <c r="N46" s="152"/>
      <c r="O46" s="152">
        <f>SUM(O47:O74)</f>
        <v>0.35000000000000003</v>
      </c>
      <c r="P46" s="152"/>
      <c r="Q46" s="152">
        <f>SUM(Q47:Q74)</f>
        <v>0</v>
      </c>
      <c r="R46" s="152"/>
      <c r="S46" s="152"/>
      <c r="T46" s="153"/>
      <c r="U46" s="146"/>
      <c r="V46" s="146"/>
      <c r="W46" s="146"/>
      <c r="X46" s="146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</row>
    <row r="47" spans="1:60" outlineLevel="1" x14ac:dyDescent="0.2">
      <c r="A47" s="182">
        <f>A44+1</f>
        <v>13</v>
      </c>
      <c r="B47" s="191" t="s">
        <v>352</v>
      </c>
      <c r="C47" s="192" t="s">
        <v>353</v>
      </c>
      <c r="D47" s="183" t="s">
        <v>322</v>
      </c>
      <c r="E47" s="175">
        <v>1</v>
      </c>
      <c r="F47" s="194"/>
      <c r="G47" s="184">
        <f>ROUND(E47*F47,2)</f>
        <v>0</v>
      </c>
      <c r="H47" s="194">
        <v>0</v>
      </c>
      <c r="I47" s="184">
        <f>ROUND(E47*H47,2)</f>
        <v>0</v>
      </c>
      <c r="J47" s="194">
        <v>5330</v>
      </c>
      <c r="K47" s="184">
        <f>ROUND(E47*J47,2)</f>
        <v>5330</v>
      </c>
      <c r="L47" s="184">
        <v>21</v>
      </c>
      <c r="M47" s="184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4" t="s">
        <v>350</v>
      </c>
      <c r="S47" s="184" t="s">
        <v>324</v>
      </c>
      <c r="T47" s="184" t="s">
        <v>101</v>
      </c>
      <c r="U47" s="146"/>
      <c r="V47" s="146"/>
      <c r="W47" s="146"/>
      <c r="X47" s="146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</row>
    <row r="48" spans="1:60" outlineLevel="1" x14ac:dyDescent="0.2">
      <c r="A48" s="193"/>
      <c r="B48" s="190"/>
      <c r="C48" s="195"/>
      <c r="D48" s="196"/>
      <c r="E48" s="196"/>
      <c r="F48" s="196"/>
      <c r="G48" s="19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</row>
    <row r="49" spans="1:60" outlineLevel="1" x14ac:dyDescent="0.2">
      <c r="A49" s="182">
        <f>A47+1</f>
        <v>14</v>
      </c>
      <c r="B49" s="191" t="s">
        <v>354</v>
      </c>
      <c r="C49" s="192" t="s">
        <v>355</v>
      </c>
      <c r="D49" s="183" t="s">
        <v>95</v>
      </c>
      <c r="E49" s="175">
        <v>3</v>
      </c>
      <c r="F49" s="194"/>
      <c r="G49" s="184">
        <f>ROUND(E49*F49,2)</f>
        <v>0</v>
      </c>
      <c r="H49" s="194">
        <v>0</v>
      </c>
      <c r="I49" s="184">
        <f>ROUND(E49*H49,2)</f>
        <v>0</v>
      </c>
      <c r="J49" s="194">
        <v>5330</v>
      </c>
      <c r="K49" s="184">
        <f>ROUND(E49*J49,2)</f>
        <v>15990</v>
      </c>
      <c r="L49" s="184">
        <v>21</v>
      </c>
      <c r="M49" s="184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4" t="s">
        <v>350</v>
      </c>
      <c r="S49" s="184" t="s">
        <v>324</v>
      </c>
      <c r="T49" s="184" t="s">
        <v>101</v>
      </c>
      <c r="U49" s="146"/>
      <c r="V49" s="146"/>
      <c r="W49" s="146"/>
      <c r="X49" s="146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</row>
    <row r="50" spans="1:60" outlineLevel="1" x14ac:dyDescent="0.2">
      <c r="A50" s="193"/>
      <c r="B50" s="190"/>
      <c r="C50" s="310" t="s">
        <v>356</v>
      </c>
      <c r="D50" s="311"/>
      <c r="E50" s="311"/>
      <c r="F50" s="311"/>
      <c r="G50" s="311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</row>
    <row r="51" spans="1:60" outlineLevel="1" x14ac:dyDescent="0.2">
      <c r="A51" s="193"/>
      <c r="B51" s="190"/>
      <c r="C51" s="195"/>
      <c r="D51" s="196"/>
      <c r="E51" s="196"/>
      <c r="F51" s="196"/>
      <c r="G51" s="19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</row>
    <row r="52" spans="1:60" outlineLevel="1" x14ac:dyDescent="0.2">
      <c r="A52" s="182">
        <f>A49+1</f>
        <v>15</v>
      </c>
      <c r="B52" s="191" t="s">
        <v>357</v>
      </c>
      <c r="C52" s="192" t="s">
        <v>371</v>
      </c>
      <c r="D52" s="183" t="s">
        <v>95</v>
      </c>
      <c r="E52" s="175">
        <v>11</v>
      </c>
      <c r="F52" s="194"/>
      <c r="G52" s="184">
        <f>ROUND(E52*F52,2)</f>
        <v>0</v>
      </c>
      <c r="H52" s="194">
        <v>0</v>
      </c>
      <c r="I52" s="184">
        <f>ROUND(E52*H52,2)</f>
        <v>0</v>
      </c>
      <c r="J52" s="194">
        <v>548</v>
      </c>
      <c r="K52" s="184">
        <f>ROUND(E52*J52,2)</f>
        <v>6028</v>
      </c>
      <c r="L52" s="184">
        <v>21</v>
      </c>
      <c r="M52" s="184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4" t="s">
        <v>350</v>
      </c>
      <c r="S52" s="184" t="s">
        <v>324</v>
      </c>
      <c r="T52" s="184" t="s">
        <v>101</v>
      </c>
      <c r="U52" s="146"/>
      <c r="V52" s="146"/>
      <c r="W52" s="146"/>
      <c r="X52" s="146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</row>
    <row r="53" spans="1:60" outlineLevel="1" x14ac:dyDescent="0.2">
      <c r="A53" s="193"/>
      <c r="B53" s="190"/>
      <c r="C53" s="302"/>
      <c r="D53" s="303"/>
      <c r="E53" s="303"/>
      <c r="F53" s="303"/>
      <c r="G53" s="303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</row>
    <row r="54" spans="1:60" ht="45" outlineLevel="1" x14ac:dyDescent="0.2">
      <c r="A54" s="182">
        <f>A52+1</f>
        <v>16</v>
      </c>
      <c r="B54" s="191" t="s">
        <v>358</v>
      </c>
      <c r="C54" s="192" t="s">
        <v>373</v>
      </c>
      <c r="D54" s="183" t="s">
        <v>95</v>
      </c>
      <c r="E54" s="175">
        <v>2</v>
      </c>
      <c r="F54" s="194"/>
      <c r="G54" s="184">
        <f>ROUND(E54*F54,2)</f>
        <v>0</v>
      </c>
      <c r="H54" s="194">
        <v>5009.22</v>
      </c>
      <c r="I54" s="184">
        <f>ROUND(E54*H54,2)</f>
        <v>10018.44</v>
      </c>
      <c r="J54" s="194">
        <v>805.78</v>
      </c>
      <c r="K54" s="184">
        <f>ROUND(E54*J54,2)</f>
        <v>1611.56</v>
      </c>
      <c r="L54" s="184">
        <v>21</v>
      </c>
      <c r="M54" s="184">
        <f>G54*(1+L54/100)</f>
        <v>0</v>
      </c>
      <c r="N54" s="184">
        <v>2.545E-2</v>
      </c>
      <c r="O54" s="184">
        <f>ROUND(E54*N54,2)</f>
        <v>0.05</v>
      </c>
      <c r="P54" s="184">
        <v>0</v>
      </c>
      <c r="Q54" s="184">
        <f>ROUND(E54*P54,2)</f>
        <v>0</v>
      </c>
      <c r="R54" s="184" t="s">
        <v>350</v>
      </c>
      <c r="S54" s="184" t="s">
        <v>324</v>
      </c>
      <c r="T54" s="184" t="s">
        <v>101</v>
      </c>
      <c r="U54" s="146"/>
      <c r="V54" s="146"/>
      <c r="W54" s="146"/>
      <c r="X54" s="146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</row>
    <row r="55" spans="1:60" outlineLevel="1" x14ac:dyDescent="0.2">
      <c r="A55" s="193"/>
      <c r="B55" s="190"/>
      <c r="C55" s="310" t="s">
        <v>359</v>
      </c>
      <c r="D55" s="311"/>
      <c r="E55" s="311"/>
      <c r="F55" s="311"/>
      <c r="G55" s="311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</row>
    <row r="56" spans="1:60" outlineLevel="1" x14ac:dyDescent="0.2">
      <c r="A56" s="193"/>
      <c r="B56" s="190"/>
      <c r="C56" s="195"/>
      <c r="D56" s="196"/>
      <c r="E56" s="196"/>
      <c r="F56" s="196"/>
      <c r="G56" s="19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</row>
    <row r="57" spans="1:60" ht="45" outlineLevel="1" x14ac:dyDescent="0.2">
      <c r="A57" s="182">
        <f>A54+1</f>
        <v>17</v>
      </c>
      <c r="B57" s="191" t="s">
        <v>358</v>
      </c>
      <c r="C57" s="192" t="s">
        <v>374</v>
      </c>
      <c r="D57" s="183" t="s">
        <v>95</v>
      </c>
      <c r="E57" s="175">
        <v>9</v>
      </c>
      <c r="F57" s="194"/>
      <c r="G57" s="184">
        <f>ROUND(E57*F57,2)</f>
        <v>0</v>
      </c>
      <c r="H57" s="194">
        <v>5009.22</v>
      </c>
      <c r="I57" s="184">
        <f>ROUND(E57*H57,2)</f>
        <v>45082.98</v>
      </c>
      <c r="J57" s="194">
        <v>805.78</v>
      </c>
      <c r="K57" s="184">
        <f>ROUND(E57*J57,2)</f>
        <v>7252.02</v>
      </c>
      <c r="L57" s="184">
        <v>21</v>
      </c>
      <c r="M57" s="184">
        <f>G57*(1+L57/100)</f>
        <v>0</v>
      </c>
      <c r="N57" s="184">
        <v>2.545E-2</v>
      </c>
      <c r="O57" s="184">
        <f>ROUND(E57*N57,2)</f>
        <v>0.23</v>
      </c>
      <c r="P57" s="184">
        <v>0</v>
      </c>
      <c r="Q57" s="184">
        <f>ROUND(E57*P57,2)</f>
        <v>0</v>
      </c>
      <c r="R57" s="184" t="s">
        <v>350</v>
      </c>
      <c r="S57" s="184" t="s">
        <v>324</v>
      </c>
      <c r="T57" s="184" t="s">
        <v>101</v>
      </c>
      <c r="U57" s="146"/>
      <c r="V57" s="146"/>
      <c r="W57" s="146"/>
      <c r="X57" s="146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</row>
    <row r="58" spans="1:60" outlineLevel="1" x14ac:dyDescent="0.2">
      <c r="A58" s="193"/>
      <c r="B58" s="190"/>
      <c r="C58" s="310" t="s">
        <v>359</v>
      </c>
      <c r="D58" s="311"/>
      <c r="E58" s="311"/>
      <c r="F58" s="311"/>
      <c r="G58" s="311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</row>
    <row r="59" spans="1:60" outlineLevel="1" x14ac:dyDescent="0.2">
      <c r="A59" s="193"/>
      <c r="B59" s="190"/>
      <c r="C59" s="195"/>
      <c r="D59" s="196"/>
      <c r="E59" s="196"/>
      <c r="F59" s="196"/>
      <c r="G59" s="19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</row>
    <row r="60" spans="1:60" ht="22.5" outlineLevel="1" x14ac:dyDescent="0.2">
      <c r="A60" s="182">
        <f>A57+1</f>
        <v>18</v>
      </c>
      <c r="B60" s="191" t="s">
        <v>360</v>
      </c>
      <c r="C60" s="192" t="s">
        <v>372</v>
      </c>
      <c r="D60" s="183" t="s">
        <v>95</v>
      </c>
      <c r="E60" s="175">
        <v>2</v>
      </c>
      <c r="F60" s="194"/>
      <c r="G60" s="184">
        <f>ROUND(E60*F60,2)</f>
        <v>0</v>
      </c>
      <c r="H60" s="194">
        <v>5009.22</v>
      </c>
      <c r="I60" s="184">
        <f>ROUND(E60*H60,2)</f>
        <v>10018.44</v>
      </c>
      <c r="J60" s="194">
        <v>805.78</v>
      </c>
      <c r="K60" s="184">
        <f>ROUND(E60*J60,2)</f>
        <v>1611.56</v>
      </c>
      <c r="L60" s="184">
        <v>21</v>
      </c>
      <c r="M60" s="184">
        <f>G60*(1+L60/100)</f>
        <v>0</v>
      </c>
      <c r="N60" s="184">
        <v>2.545E-2</v>
      </c>
      <c r="O60" s="184">
        <f>ROUND(E60*N60,2)</f>
        <v>0.05</v>
      </c>
      <c r="P60" s="184">
        <v>0</v>
      </c>
      <c r="Q60" s="184">
        <f>ROUND(E60*P60,2)</f>
        <v>0</v>
      </c>
      <c r="R60" s="184" t="s">
        <v>350</v>
      </c>
      <c r="S60" s="184" t="s">
        <v>324</v>
      </c>
      <c r="T60" s="184" t="s">
        <v>101</v>
      </c>
      <c r="U60" s="146"/>
      <c r="V60" s="146"/>
      <c r="W60" s="146"/>
      <c r="X60" s="146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</row>
    <row r="61" spans="1:60" outlineLevel="1" x14ac:dyDescent="0.2">
      <c r="A61" s="193"/>
      <c r="B61" s="190"/>
      <c r="C61" s="310" t="s">
        <v>361</v>
      </c>
      <c r="D61" s="311"/>
      <c r="E61" s="311"/>
      <c r="F61" s="311"/>
      <c r="G61" s="311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</row>
    <row r="62" spans="1:60" outlineLevel="1" x14ac:dyDescent="0.2">
      <c r="A62" s="193"/>
      <c r="B62" s="190"/>
      <c r="C62" s="195"/>
      <c r="D62" s="196"/>
      <c r="E62" s="196"/>
      <c r="F62" s="196"/>
      <c r="G62" s="19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</row>
    <row r="63" spans="1:60" outlineLevel="1" x14ac:dyDescent="0.2">
      <c r="A63" s="182">
        <f>A60+1</f>
        <v>19</v>
      </c>
      <c r="B63" s="191" t="s">
        <v>362</v>
      </c>
      <c r="C63" s="192" t="s">
        <v>363</v>
      </c>
      <c r="D63" s="183" t="s">
        <v>113</v>
      </c>
      <c r="E63" s="175">
        <v>95</v>
      </c>
      <c r="F63" s="194"/>
      <c r="G63" s="184">
        <f>ROUND(E63*F63,2)</f>
        <v>0</v>
      </c>
      <c r="H63" s="194">
        <v>0</v>
      </c>
      <c r="I63" s="184">
        <f>ROUND(E63*H63,2)</f>
        <v>0</v>
      </c>
      <c r="J63" s="194">
        <v>66.599999999999994</v>
      </c>
      <c r="K63" s="184">
        <f>ROUND(E63*J63,2)</f>
        <v>6327</v>
      </c>
      <c r="L63" s="184">
        <v>21</v>
      </c>
      <c r="M63" s="184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4" t="s">
        <v>350</v>
      </c>
      <c r="S63" s="184" t="s">
        <v>324</v>
      </c>
      <c r="T63" s="184" t="s">
        <v>101</v>
      </c>
      <c r="U63" s="146"/>
      <c r="V63" s="146"/>
      <c r="W63" s="146"/>
      <c r="X63" s="146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</row>
    <row r="64" spans="1:60" outlineLevel="1" x14ac:dyDescent="0.2">
      <c r="A64" s="193"/>
      <c r="B64" s="190"/>
      <c r="C64" s="195"/>
      <c r="D64" s="196"/>
      <c r="E64" s="196"/>
      <c r="F64" s="196"/>
      <c r="G64" s="19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</row>
    <row r="65" spans="1:60" outlineLevel="1" x14ac:dyDescent="0.2">
      <c r="A65" s="182">
        <f>A63+1</f>
        <v>20</v>
      </c>
      <c r="B65" s="191" t="s">
        <v>364</v>
      </c>
      <c r="C65" s="192" t="s">
        <v>375</v>
      </c>
      <c r="D65" s="183" t="s">
        <v>113</v>
      </c>
      <c r="E65" s="175">
        <v>270</v>
      </c>
      <c r="F65" s="194"/>
      <c r="G65" s="184">
        <f>ROUND(E65*F65,2)</f>
        <v>0</v>
      </c>
      <c r="H65" s="194">
        <v>0</v>
      </c>
      <c r="I65" s="184">
        <f>ROUND(E65*H65,2)</f>
        <v>0</v>
      </c>
      <c r="J65" s="194">
        <v>66.599999999999994</v>
      </c>
      <c r="K65" s="184">
        <f>ROUND(E65*J65,2)</f>
        <v>17982</v>
      </c>
      <c r="L65" s="184">
        <v>21</v>
      </c>
      <c r="M65" s="184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4" t="s">
        <v>350</v>
      </c>
      <c r="S65" s="184" t="s">
        <v>324</v>
      </c>
      <c r="T65" s="184" t="s">
        <v>101</v>
      </c>
      <c r="U65" s="146"/>
      <c r="V65" s="146"/>
      <c r="W65" s="146"/>
      <c r="X65" s="146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</row>
    <row r="66" spans="1:60" outlineLevel="1" x14ac:dyDescent="0.2">
      <c r="A66" s="193"/>
      <c r="B66" s="190"/>
      <c r="C66" s="195"/>
      <c r="D66" s="196"/>
      <c r="E66" s="196"/>
      <c r="F66" s="196"/>
      <c r="G66" s="196"/>
      <c r="H66" s="165"/>
      <c r="I66" s="146"/>
      <c r="J66" s="165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</row>
    <row r="67" spans="1:60" outlineLevel="1" x14ac:dyDescent="0.2">
      <c r="A67" s="182">
        <f>A65+1</f>
        <v>21</v>
      </c>
      <c r="B67" s="191" t="s">
        <v>365</v>
      </c>
      <c r="C67" s="192" t="s">
        <v>366</v>
      </c>
      <c r="D67" s="183" t="s">
        <v>113</v>
      </c>
      <c r="E67" s="175">
        <v>280</v>
      </c>
      <c r="F67" s="194"/>
      <c r="G67" s="184">
        <f>ROUND(E67*F67,2)</f>
        <v>0</v>
      </c>
      <c r="H67" s="194">
        <v>0</v>
      </c>
      <c r="I67" s="184">
        <f>ROUND(E67*H67,2)</f>
        <v>0</v>
      </c>
      <c r="J67" s="194">
        <v>66.599999999999994</v>
      </c>
      <c r="K67" s="184">
        <f>ROUND(E67*J67,2)</f>
        <v>18648</v>
      </c>
      <c r="L67" s="184">
        <v>21</v>
      </c>
      <c r="M67" s="184">
        <f>G67*(1+L67/100)</f>
        <v>0</v>
      </c>
      <c r="N67" s="184">
        <v>0</v>
      </c>
      <c r="O67" s="184">
        <f>ROUND(E67*N67,2)</f>
        <v>0</v>
      </c>
      <c r="P67" s="184">
        <v>0</v>
      </c>
      <c r="Q67" s="184">
        <f>ROUND(E67*P67,2)</f>
        <v>0</v>
      </c>
      <c r="R67" s="184" t="s">
        <v>350</v>
      </c>
      <c r="S67" s="184" t="s">
        <v>324</v>
      </c>
      <c r="T67" s="184" t="s">
        <v>101</v>
      </c>
      <c r="U67" s="146"/>
      <c r="V67" s="146"/>
      <c r="W67" s="146"/>
      <c r="X67" s="146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</row>
    <row r="68" spans="1:60" outlineLevel="1" x14ac:dyDescent="0.2">
      <c r="A68" s="193"/>
      <c r="B68" s="190"/>
      <c r="C68" s="195"/>
      <c r="D68" s="196"/>
      <c r="E68" s="196"/>
      <c r="F68" s="196"/>
      <c r="G68" s="196"/>
      <c r="H68" s="165"/>
      <c r="I68" s="146"/>
      <c r="J68" s="165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</row>
    <row r="69" spans="1:60" outlineLevel="1" x14ac:dyDescent="0.2">
      <c r="A69" s="182">
        <f>A67+1</f>
        <v>22</v>
      </c>
      <c r="B69" s="191" t="s">
        <v>377</v>
      </c>
      <c r="C69" s="192" t="s">
        <v>376</v>
      </c>
      <c r="D69" s="183" t="s">
        <v>113</v>
      </c>
      <c r="E69" s="175">
        <v>64</v>
      </c>
      <c r="F69" s="194"/>
      <c r="G69" s="184">
        <f>ROUND(E69*F69,2)</f>
        <v>0</v>
      </c>
      <c r="H69" s="194">
        <v>0</v>
      </c>
      <c r="I69" s="184">
        <f>ROUND(E69*H69,2)</f>
        <v>0</v>
      </c>
      <c r="J69" s="194">
        <v>66.599999999999994</v>
      </c>
      <c r="K69" s="184">
        <f>ROUND(E69*J69,2)</f>
        <v>4262.3999999999996</v>
      </c>
      <c r="L69" s="184">
        <v>21</v>
      </c>
      <c r="M69" s="184">
        <f>G69*(1+L69/100)</f>
        <v>0</v>
      </c>
      <c r="N69" s="184">
        <v>0</v>
      </c>
      <c r="O69" s="184">
        <f>ROUND(E69*N69,2)</f>
        <v>0</v>
      </c>
      <c r="P69" s="184">
        <v>0</v>
      </c>
      <c r="Q69" s="184">
        <f>ROUND(E69*P69,2)</f>
        <v>0</v>
      </c>
      <c r="R69" s="184" t="s">
        <v>350</v>
      </c>
      <c r="S69" s="184" t="s">
        <v>324</v>
      </c>
      <c r="T69" s="184" t="s">
        <v>101</v>
      </c>
      <c r="U69" s="146"/>
      <c r="V69" s="146"/>
      <c r="W69" s="146"/>
      <c r="X69" s="146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</row>
    <row r="70" spans="1:60" outlineLevel="1" x14ac:dyDescent="0.2">
      <c r="A70" s="193"/>
      <c r="B70" s="190"/>
      <c r="C70" s="195"/>
      <c r="D70" s="196"/>
      <c r="E70" s="196"/>
      <c r="F70" s="196"/>
      <c r="G70" s="196"/>
      <c r="H70" s="165"/>
      <c r="I70" s="146"/>
      <c r="J70" s="165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</row>
    <row r="71" spans="1:60" outlineLevel="1" x14ac:dyDescent="0.2">
      <c r="A71" s="182">
        <f>A69+1</f>
        <v>23</v>
      </c>
      <c r="B71" s="191" t="s">
        <v>367</v>
      </c>
      <c r="C71" s="192" t="s">
        <v>368</v>
      </c>
      <c r="D71" s="183" t="s">
        <v>113</v>
      </c>
      <c r="E71" s="175">
        <v>280</v>
      </c>
      <c r="F71" s="194"/>
      <c r="G71" s="184">
        <f>ROUND(E71*F71,2)</f>
        <v>0</v>
      </c>
      <c r="H71" s="194">
        <v>0</v>
      </c>
      <c r="I71" s="184">
        <f>ROUND(E71*H71,2)</f>
        <v>0</v>
      </c>
      <c r="J71" s="194">
        <v>66.599999999999994</v>
      </c>
      <c r="K71" s="184">
        <f>ROUND(E71*J71,2)</f>
        <v>18648</v>
      </c>
      <c r="L71" s="184">
        <v>21</v>
      </c>
      <c r="M71" s="184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4" t="s">
        <v>350</v>
      </c>
      <c r="S71" s="184" t="s">
        <v>324</v>
      </c>
      <c r="T71" s="184" t="s">
        <v>101</v>
      </c>
      <c r="U71" s="146"/>
      <c r="V71" s="146"/>
      <c r="W71" s="146"/>
      <c r="X71" s="146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</row>
    <row r="72" spans="1:60" outlineLevel="1" x14ac:dyDescent="0.2">
      <c r="A72" s="193"/>
      <c r="B72" s="190"/>
      <c r="C72" s="302"/>
      <c r="D72" s="303"/>
      <c r="E72" s="303"/>
      <c r="F72" s="303"/>
      <c r="G72" s="303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</row>
    <row r="73" spans="1:60" outlineLevel="1" x14ac:dyDescent="0.2">
      <c r="A73" s="182">
        <f>A71+1</f>
        <v>24</v>
      </c>
      <c r="B73" s="191" t="s">
        <v>369</v>
      </c>
      <c r="C73" s="192" t="s">
        <v>370</v>
      </c>
      <c r="D73" s="183" t="s">
        <v>113</v>
      </c>
      <c r="E73" s="175">
        <f>E71</f>
        <v>280</v>
      </c>
      <c r="F73" s="194"/>
      <c r="G73" s="184">
        <f>ROUND(E73*F73,2)</f>
        <v>0</v>
      </c>
      <c r="H73" s="194">
        <v>5.46</v>
      </c>
      <c r="I73" s="184">
        <f>ROUND(E73*H73,2)</f>
        <v>1528.8</v>
      </c>
      <c r="J73" s="194">
        <v>10.74</v>
      </c>
      <c r="K73" s="184">
        <f>ROUND(E73*J73,2)</f>
        <v>3007.2</v>
      </c>
      <c r="L73" s="184">
        <v>21</v>
      </c>
      <c r="M73" s="184">
        <f>G73*(1+L73/100)</f>
        <v>0</v>
      </c>
      <c r="N73" s="184">
        <v>6.0000000000000002E-5</v>
      </c>
      <c r="O73" s="184">
        <f>ROUND(E73*N73,2)</f>
        <v>0.02</v>
      </c>
      <c r="P73" s="184">
        <v>0</v>
      </c>
      <c r="Q73" s="184">
        <f>ROUND(E73*P73,2)</f>
        <v>0</v>
      </c>
      <c r="R73" s="184"/>
      <c r="S73" s="184" t="s">
        <v>324</v>
      </c>
      <c r="T73" s="184" t="s">
        <v>101</v>
      </c>
      <c r="U73" s="146"/>
      <c r="V73" s="146"/>
      <c r="W73" s="146"/>
      <c r="X73" s="146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</row>
    <row r="74" spans="1:60" outlineLevel="1" x14ac:dyDescent="0.2">
      <c r="A74" s="193"/>
      <c r="B74" s="190"/>
      <c r="C74" s="195"/>
      <c r="D74" s="196"/>
      <c r="E74" s="196"/>
      <c r="F74" s="196"/>
      <c r="G74" s="19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</row>
    <row r="75" spans="1:60" outlineLevel="1" x14ac:dyDescent="0.2">
      <c r="A75" s="148" t="s">
        <v>91</v>
      </c>
      <c r="B75" s="149" t="s">
        <v>58</v>
      </c>
      <c r="C75" s="156" t="s">
        <v>59</v>
      </c>
      <c r="D75" s="150"/>
      <c r="E75" s="151"/>
      <c r="F75" s="152"/>
      <c r="G75" s="152">
        <f>SUMIF(AG76:AG77,"&lt;&gt;NOR",G76:G77)</f>
        <v>0</v>
      </c>
      <c r="H75" s="152"/>
      <c r="I75" s="152">
        <f>SUM(I76:I77)</f>
        <v>0</v>
      </c>
      <c r="J75" s="152"/>
      <c r="K75" s="152">
        <f>SUM(K76:K77)</f>
        <v>14012.16</v>
      </c>
      <c r="L75" s="152"/>
      <c r="M75" s="152">
        <f>SUM(M76:M77)</f>
        <v>0</v>
      </c>
      <c r="N75" s="152"/>
      <c r="O75" s="152">
        <f>SUM(O76:O77)</f>
        <v>0</v>
      </c>
      <c r="P75" s="152"/>
      <c r="Q75" s="152">
        <f>SUM(Q76:Q77)</f>
        <v>0</v>
      </c>
      <c r="R75" s="152"/>
      <c r="S75" s="152"/>
      <c r="T75" s="153"/>
      <c r="U75" s="146"/>
      <c r="V75" s="146"/>
      <c r="W75" s="146"/>
      <c r="X75" s="146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</row>
    <row r="76" spans="1:60" outlineLevel="1" x14ac:dyDescent="0.2">
      <c r="A76" s="182">
        <f>A73+1</f>
        <v>25</v>
      </c>
      <c r="B76" s="191" t="s">
        <v>181</v>
      </c>
      <c r="C76" s="192" t="s">
        <v>182</v>
      </c>
      <c r="D76" s="183" t="s">
        <v>126</v>
      </c>
      <c r="E76" s="175">
        <f>E44+E26</f>
        <v>196.8</v>
      </c>
      <c r="F76" s="194"/>
      <c r="G76" s="184">
        <f>ROUND(E76*F76,2)</f>
        <v>0</v>
      </c>
      <c r="H76" s="194">
        <v>0</v>
      </c>
      <c r="I76" s="184">
        <f>ROUND(E76*H76,2)</f>
        <v>0</v>
      </c>
      <c r="J76" s="194">
        <v>71.2</v>
      </c>
      <c r="K76" s="184">
        <f>ROUND(E76*J76,2)</f>
        <v>14012.16</v>
      </c>
      <c r="L76" s="184">
        <v>21</v>
      </c>
      <c r="M76" s="184">
        <f>G76*(1+L76/100)</f>
        <v>0</v>
      </c>
      <c r="N76" s="184">
        <v>0</v>
      </c>
      <c r="O76" s="184">
        <f>ROUND(E76*N76,2)</f>
        <v>0</v>
      </c>
      <c r="P76" s="184">
        <v>0</v>
      </c>
      <c r="Q76" s="186">
        <f>ROUND(E76*P76,2)</f>
        <v>0</v>
      </c>
      <c r="R76" s="184" t="s">
        <v>109</v>
      </c>
      <c r="S76" s="184" t="s">
        <v>324</v>
      </c>
      <c r="T76" s="184" t="s">
        <v>324</v>
      </c>
      <c r="U76" s="146"/>
      <c r="V76" s="146"/>
      <c r="W76" s="146"/>
      <c r="X76" s="146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</row>
    <row r="77" spans="1:60" outlineLevel="1" x14ac:dyDescent="0.2">
      <c r="A77" s="193"/>
      <c r="B77" s="190"/>
      <c r="C77" s="302"/>
      <c r="D77" s="302"/>
      <c r="E77" s="302"/>
      <c r="F77" s="302"/>
      <c r="G77" s="302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</row>
    <row r="78" spans="1:60" outlineLevel="1" x14ac:dyDescent="0.2">
      <c r="A78" s="3"/>
      <c r="B78" s="4"/>
      <c r="C78" s="157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46"/>
      <c r="V78" s="146"/>
      <c r="W78" s="146"/>
      <c r="X78" s="146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</row>
    <row r="79" spans="1:60" outlineLevel="1" x14ac:dyDescent="0.2">
      <c r="A79" s="206"/>
      <c r="B79" s="207" t="s">
        <v>28</v>
      </c>
      <c r="C79" s="208"/>
      <c r="D79" s="209"/>
      <c r="E79" s="210"/>
      <c r="F79" s="210"/>
      <c r="G79" s="155">
        <f>G75+G46+G40+G36+G8</f>
        <v>0</v>
      </c>
      <c r="H79" s="3"/>
      <c r="I79" s="3"/>
      <c r="J79" s="3"/>
      <c r="K79" s="3"/>
      <c r="L79" s="145"/>
      <c r="M79" s="3"/>
      <c r="N79" s="3"/>
      <c r="O79" s="3"/>
      <c r="P79" s="3"/>
      <c r="Q79" s="3"/>
      <c r="R79" s="3"/>
      <c r="S79" s="3"/>
      <c r="T79" s="3"/>
      <c r="U79" s="146"/>
      <c r="V79" s="146"/>
      <c r="W79" s="146"/>
      <c r="X79" s="146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</row>
    <row r="80" spans="1:60" x14ac:dyDescent="0.2">
      <c r="C80" s="158"/>
      <c r="D80" s="10"/>
      <c r="AG80" t="s">
        <v>147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</sheetData>
  <sheetProtection algorithmName="SHA-512" hashValue="t5Up4TmKJhUpdcKae92swLTuWsDqdddzCX9pIRoixpNE/9XQ9o0kZDThud6gyGu12wuGLMJFrEnNM2CwXlj9tg==" saltValue="UT0EhVAJvW3ryC0c0XckKg==" spinCount="100000" sheet="1" objects="1" scenarios="1"/>
  <mergeCells count="26">
    <mergeCell ref="C43:G43"/>
    <mergeCell ref="C50:G50"/>
    <mergeCell ref="C10:G10"/>
    <mergeCell ref="C58:G58"/>
    <mergeCell ref="A1:G1"/>
    <mergeCell ref="C2:H2"/>
    <mergeCell ref="C3:G3"/>
    <mergeCell ref="C4:H4"/>
    <mergeCell ref="C53:G53"/>
    <mergeCell ref="C55:G55"/>
    <mergeCell ref="C61:G61"/>
    <mergeCell ref="C72:G72"/>
    <mergeCell ref="C77:G77"/>
    <mergeCell ref="C13:G13"/>
    <mergeCell ref="C16:G16"/>
    <mergeCell ref="C17:G17"/>
    <mergeCell ref="C20:G20"/>
    <mergeCell ref="C21:G21"/>
    <mergeCell ref="C24:G24"/>
    <mergeCell ref="C29:G29"/>
    <mergeCell ref="C30:G30"/>
    <mergeCell ref="C32:G32"/>
    <mergeCell ref="C18:G18"/>
    <mergeCell ref="C35:G35"/>
    <mergeCell ref="C39:G39"/>
    <mergeCell ref="C42:G42"/>
  </mergeCells>
  <pageMargins left="0.59055118110236204" right="0.196850393700787" top="0.78740157499999996" bottom="0.78740157499999996" header="0.3" footer="0.3"/>
  <pageSetup paperSize="9" scale="88" fitToHeight="0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Komunikace a odvodnění</vt:lpstr>
      <vt:lpstr>SO 04  Veřejné osvětlení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Komunikace a odvodnění'!Názvy_tisku</vt:lpstr>
      <vt:lpstr>'SO 04  Veřejné osvětlení'!Názvy_tisku</vt:lpstr>
      <vt:lpstr>oadresa</vt:lpstr>
      <vt:lpstr>Stavba!Objednatel</vt:lpstr>
      <vt:lpstr>Stavba!Objekt</vt:lpstr>
      <vt:lpstr>'SO 01 Komunikace a odvodnění'!Oblast_tisku</vt:lpstr>
      <vt:lpstr>'SO 04  Veřejné osvětlení'!Oblast_tisku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</dc:creator>
  <cp:lastModifiedBy>Löfflerová Marta</cp:lastModifiedBy>
  <cp:lastPrinted>2022-12-07T21:57:05Z</cp:lastPrinted>
  <dcterms:created xsi:type="dcterms:W3CDTF">2009-04-08T07:15:50Z</dcterms:created>
  <dcterms:modified xsi:type="dcterms:W3CDTF">2024-04-29T07:42:12Z</dcterms:modified>
</cp:coreProperties>
</file>