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uml-my.sharepoint.com/personal/marta_lofflerova_muml_cz/Documents/Plocha/VZ/VZ 2026/Demolice pilnice VZ/"/>
    </mc:Choice>
  </mc:AlternateContent>
  <xr:revisionPtr revIDLastSave="0" documentId="8_{8A94B735-4BF0-47F1-9E30-A703E1B3B61B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Stavební rozpočet" sheetId="1" r:id="rId1"/>
    <sheet name="Krycí list rozpočtu" sheetId="2" r:id="rId2"/>
    <sheet name="VORN" sheetId="3" state="hidden" r:id="rId3"/>
  </sheets>
  <definedNames>
    <definedName name="_xlnm.Print_Area" localSheetId="0">'Stavební rozpočet'!$A$1:$K$124</definedName>
    <definedName name="vorn_sum">VORN!$I$45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" i="2" l="1"/>
  <c r="F108" i="1"/>
  <c r="F104" i="1"/>
  <c r="BJ60" i="1"/>
  <c r="BF60" i="1"/>
  <c r="BD60" i="1"/>
  <c r="AP60" i="1"/>
  <c r="AX60" i="1" s="1"/>
  <c r="AO60" i="1"/>
  <c r="H60" i="1" s="1"/>
  <c r="AK60" i="1"/>
  <c r="AJ60" i="1"/>
  <c r="AH60" i="1"/>
  <c r="AG60" i="1"/>
  <c r="AF60" i="1"/>
  <c r="AE60" i="1"/>
  <c r="AD60" i="1"/>
  <c r="AC60" i="1"/>
  <c r="AB60" i="1"/>
  <c r="Z60" i="1"/>
  <c r="J60" i="1"/>
  <c r="AL60" i="1" s="1"/>
  <c r="I60" i="1"/>
  <c r="BJ59" i="1"/>
  <c r="Z59" i="1" s="1"/>
  <c r="BF59" i="1"/>
  <c r="BD59" i="1"/>
  <c r="AP59" i="1"/>
  <c r="AX59" i="1" s="1"/>
  <c r="AO59" i="1"/>
  <c r="H59" i="1" s="1"/>
  <c r="AK59" i="1"/>
  <c r="AJ59" i="1"/>
  <c r="AH59" i="1"/>
  <c r="AG59" i="1"/>
  <c r="AF59" i="1"/>
  <c r="AE59" i="1"/>
  <c r="AD59" i="1"/>
  <c r="AC59" i="1"/>
  <c r="AB59" i="1"/>
  <c r="J59" i="1"/>
  <c r="AL59" i="1" s="1"/>
  <c r="BJ64" i="1"/>
  <c r="Z64" i="1" s="1"/>
  <c r="BF64" i="1"/>
  <c r="BD64" i="1"/>
  <c r="AP64" i="1"/>
  <c r="AX64" i="1" s="1"/>
  <c r="AO64" i="1"/>
  <c r="H64" i="1" s="1"/>
  <c r="AK64" i="1"/>
  <c r="AJ64" i="1"/>
  <c r="AH64" i="1"/>
  <c r="AG64" i="1"/>
  <c r="AF64" i="1"/>
  <c r="AE64" i="1"/>
  <c r="AD64" i="1"/>
  <c r="AC64" i="1"/>
  <c r="AB64" i="1"/>
  <c r="J64" i="1"/>
  <c r="AL64" i="1" s="1"/>
  <c r="F109" i="1" l="1"/>
  <c r="F107" i="1" s="1"/>
  <c r="I59" i="1"/>
  <c r="AW60" i="1"/>
  <c r="BC60" i="1" s="1"/>
  <c r="BH60" i="1"/>
  <c r="BI60" i="1"/>
  <c r="I64" i="1"/>
  <c r="AW59" i="1"/>
  <c r="BH59" i="1"/>
  <c r="BI59" i="1"/>
  <c r="BH64" i="1"/>
  <c r="BI64" i="1"/>
  <c r="AW64" i="1"/>
  <c r="AV60" i="1" l="1"/>
  <c r="BC59" i="1"/>
  <c r="AV59" i="1"/>
  <c r="BC64" i="1"/>
  <c r="AV64" i="1"/>
  <c r="F117" i="1" l="1"/>
  <c r="F112" i="1"/>
  <c r="F99" i="1" l="1"/>
  <c r="F44" i="3"/>
  <c r="I44" i="3" s="1"/>
  <c r="F42" i="3"/>
  <c r="I42" i="3" s="1"/>
  <c r="F39" i="3"/>
  <c r="I39" i="3" s="1"/>
  <c r="F38" i="3"/>
  <c r="I38" i="3" s="1"/>
  <c r="F35" i="3"/>
  <c r="I35" i="3" s="1"/>
  <c r="I26" i="3"/>
  <c r="I19" i="2" s="1"/>
  <c r="I25" i="3"/>
  <c r="I18" i="2" s="1"/>
  <c r="I24" i="3"/>
  <c r="I17" i="2" s="1"/>
  <c r="I23" i="3"/>
  <c r="I16" i="2" s="1"/>
  <c r="I22" i="3"/>
  <c r="I15" i="2" s="1"/>
  <c r="I21" i="3"/>
  <c r="I17" i="3"/>
  <c r="F16" i="2" s="1"/>
  <c r="I16" i="3"/>
  <c r="F15" i="2" s="1"/>
  <c r="I15" i="3"/>
  <c r="I18" i="3" s="1"/>
  <c r="I10" i="3"/>
  <c r="F10" i="3"/>
  <c r="C10" i="3"/>
  <c r="F8" i="3"/>
  <c r="C8" i="3"/>
  <c r="F6" i="3"/>
  <c r="C6" i="3"/>
  <c r="F4" i="3"/>
  <c r="C4" i="3"/>
  <c r="F2" i="3"/>
  <c r="C2" i="3"/>
  <c r="F14" i="2"/>
  <c r="F22" i="2" s="1"/>
  <c r="I10" i="2"/>
  <c r="F10" i="2"/>
  <c r="C10" i="2"/>
  <c r="F8" i="2"/>
  <c r="C8" i="2"/>
  <c r="F6" i="2"/>
  <c r="C6" i="2"/>
  <c r="F4" i="2"/>
  <c r="C4" i="2"/>
  <c r="F2" i="2"/>
  <c r="C2" i="2"/>
  <c r="BU93" i="1"/>
  <c r="F43" i="3" s="1"/>
  <c r="I43" i="3" s="1"/>
  <c r="BJ93" i="1"/>
  <c r="BF93" i="1"/>
  <c r="BD93" i="1"/>
  <c r="AP93" i="1"/>
  <c r="BI93" i="1" s="1"/>
  <c r="AO93" i="1"/>
  <c r="BH93" i="1" s="1"/>
  <c r="AK93" i="1"/>
  <c r="AT92" i="1" s="1"/>
  <c r="AJ93" i="1"/>
  <c r="AS92" i="1" s="1"/>
  <c r="AH93" i="1"/>
  <c r="AG93" i="1"/>
  <c r="AF93" i="1"/>
  <c r="AE93" i="1"/>
  <c r="AD93" i="1"/>
  <c r="AC93" i="1"/>
  <c r="AB93" i="1"/>
  <c r="Z93" i="1"/>
  <c r="J93" i="1"/>
  <c r="J92" i="1" s="1"/>
  <c r="BS91" i="1"/>
  <c r="F41" i="3" s="1"/>
  <c r="I41" i="3" s="1"/>
  <c r="BJ91" i="1"/>
  <c r="BF91" i="1"/>
  <c r="BD91" i="1"/>
  <c r="AP91" i="1"/>
  <c r="I91" i="1" s="1"/>
  <c r="I90" i="1" s="1"/>
  <c r="AO91" i="1"/>
  <c r="H91" i="1" s="1"/>
  <c r="H90" i="1" s="1"/>
  <c r="AK91" i="1"/>
  <c r="AT90" i="1" s="1"/>
  <c r="AJ91" i="1"/>
  <c r="AS90" i="1" s="1"/>
  <c r="AH91" i="1"/>
  <c r="AG91" i="1"/>
  <c r="AF91" i="1"/>
  <c r="AE91" i="1"/>
  <c r="AD91" i="1"/>
  <c r="AC91" i="1"/>
  <c r="AB91" i="1"/>
  <c r="Z91" i="1"/>
  <c r="J91" i="1"/>
  <c r="J90" i="1" s="1"/>
  <c r="BR89" i="1"/>
  <c r="BJ89" i="1"/>
  <c r="BF89" i="1"/>
  <c r="BD89" i="1"/>
  <c r="AP89" i="1"/>
  <c r="AX89" i="1" s="1"/>
  <c r="AO89" i="1"/>
  <c r="BH89" i="1" s="1"/>
  <c r="AK89" i="1"/>
  <c r="AJ89" i="1"/>
  <c r="AH89" i="1"/>
  <c r="AG89" i="1"/>
  <c r="AF89" i="1"/>
  <c r="AE89" i="1"/>
  <c r="AD89" i="1"/>
  <c r="AC89" i="1"/>
  <c r="AB89" i="1"/>
  <c r="Z89" i="1"/>
  <c r="J89" i="1"/>
  <c r="BR88" i="1"/>
  <c r="BJ88" i="1"/>
  <c r="BF88" i="1"/>
  <c r="BD88" i="1"/>
  <c r="AP88" i="1"/>
  <c r="AX88" i="1" s="1"/>
  <c r="AO88" i="1"/>
  <c r="BH88" i="1" s="1"/>
  <c r="AK88" i="1"/>
  <c r="AJ88" i="1"/>
  <c r="AH88" i="1"/>
  <c r="AG88" i="1"/>
  <c r="AF88" i="1"/>
  <c r="AE88" i="1"/>
  <c r="AD88" i="1"/>
  <c r="AC88" i="1"/>
  <c r="AB88" i="1"/>
  <c r="Z88" i="1"/>
  <c r="J88" i="1"/>
  <c r="AL88" i="1" s="1"/>
  <c r="BO86" i="1"/>
  <c r="BJ86" i="1"/>
  <c r="BF86" i="1"/>
  <c r="BD86" i="1"/>
  <c r="AP86" i="1"/>
  <c r="I86" i="1" s="1"/>
  <c r="AO86" i="1"/>
  <c r="H86" i="1" s="1"/>
  <c r="AK86" i="1"/>
  <c r="AJ86" i="1"/>
  <c r="AH86" i="1"/>
  <c r="AG86" i="1"/>
  <c r="AF86" i="1"/>
  <c r="AE86" i="1"/>
  <c r="AD86" i="1"/>
  <c r="AC86" i="1"/>
  <c r="AB86" i="1"/>
  <c r="Z86" i="1"/>
  <c r="J86" i="1"/>
  <c r="AL86" i="1" s="1"/>
  <c r="BO85" i="1"/>
  <c r="BJ85" i="1"/>
  <c r="BF85" i="1"/>
  <c r="BD85" i="1"/>
  <c r="AP85" i="1"/>
  <c r="AX85" i="1" s="1"/>
  <c r="AO85" i="1"/>
  <c r="AW85" i="1" s="1"/>
  <c r="AK85" i="1"/>
  <c r="AJ85" i="1"/>
  <c r="AH85" i="1"/>
  <c r="AG85" i="1"/>
  <c r="AF85" i="1"/>
  <c r="AE85" i="1"/>
  <c r="AD85" i="1"/>
  <c r="AC85" i="1"/>
  <c r="AB85" i="1"/>
  <c r="Z85" i="1"/>
  <c r="J85" i="1"/>
  <c r="AL85" i="1" s="1"/>
  <c r="BO84" i="1"/>
  <c r="BJ84" i="1"/>
  <c r="BF84" i="1"/>
  <c r="BD84" i="1"/>
  <c r="AP84" i="1"/>
  <c r="AO84" i="1"/>
  <c r="AK84" i="1"/>
  <c r="AJ84" i="1"/>
  <c r="AH84" i="1"/>
  <c r="AG84" i="1"/>
  <c r="AF84" i="1"/>
  <c r="AE84" i="1"/>
  <c r="AD84" i="1"/>
  <c r="AC84" i="1"/>
  <c r="AB84" i="1"/>
  <c r="Z84" i="1"/>
  <c r="J84" i="1"/>
  <c r="AL84" i="1" s="1"/>
  <c r="BO83" i="1"/>
  <c r="BJ83" i="1"/>
  <c r="BF83" i="1"/>
  <c r="BD83" i="1"/>
  <c r="AP83" i="1"/>
  <c r="BI83" i="1" s="1"/>
  <c r="AO83" i="1"/>
  <c r="BH83" i="1" s="1"/>
  <c r="AK83" i="1"/>
  <c r="AJ83" i="1"/>
  <c r="AH83" i="1"/>
  <c r="AG83" i="1"/>
  <c r="AF83" i="1"/>
  <c r="AE83" i="1"/>
  <c r="AD83" i="1"/>
  <c r="AC83" i="1"/>
  <c r="AB83" i="1"/>
  <c r="Z83" i="1"/>
  <c r="J83" i="1"/>
  <c r="AL83" i="1" s="1"/>
  <c r="BO82" i="1"/>
  <c r="BJ82" i="1"/>
  <c r="BF82" i="1"/>
  <c r="BD82" i="1"/>
  <c r="AP82" i="1"/>
  <c r="AX82" i="1" s="1"/>
  <c r="AO82" i="1"/>
  <c r="AW82" i="1" s="1"/>
  <c r="AK82" i="1"/>
  <c r="AJ82" i="1"/>
  <c r="AH82" i="1"/>
  <c r="AG82" i="1"/>
  <c r="AF82" i="1"/>
  <c r="AE82" i="1"/>
  <c r="AD82" i="1"/>
  <c r="AC82" i="1"/>
  <c r="AB82" i="1"/>
  <c r="Z82" i="1"/>
  <c r="J82" i="1"/>
  <c r="BN80" i="1"/>
  <c r="BJ80" i="1"/>
  <c r="BF80" i="1"/>
  <c r="BD80" i="1"/>
  <c r="AP80" i="1"/>
  <c r="AO80" i="1"/>
  <c r="AK80" i="1"/>
  <c r="AJ80" i="1"/>
  <c r="AH80" i="1"/>
  <c r="AG80" i="1"/>
  <c r="AF80" i="1"/>
  <c r="AE80" i="1"/>
  <c r="AD80" i="1"/>
  <c r="AC80" i="1"/>
  <c r="AB80" i="1"/>
  <c r="Z80" i="1"/>
  <c r="J80" i="1"/>
  <c r="AL80" i="1" s="1"/>
  <c r="BN79" i="1"/>
  <c r="BJ79" i="1"/>
  <c r="BF79" i="1"/>
  <c r="BD79" i="1"/>
  <c r="AP79" i="1"/>
  <c r="BI79" i="1" s="1"/>
  <c r="AO79" i="1"/>
  <c r="BH79" i="1" s="1"/>
  <c r="AK79" i="1"/>
  <c r="AJ79" i="1"/>
  <c r="AH79" i="1"/>
  <c r="AG79" i="1"/>
  <c r="AF79" i="1"/>
  <c r="AE79" i="1"/>
  <c r="AD79" i="1"/>
  <c r="AC79" i="1"/>
  <c r="AB79" i="1"/>
  <c r="Z79" i="1"/>
  <c r="J79" i="1"/>
  <c r="BJ75" i="1"/>
  <c r="Z75" i="1" s="1"/>
  <c r="BF75" i="1"/>
  <c r="BD75" i="1"/>
  <c r="AP75" i="1"/>
  <c r="I75" i="1" s="1"/>
  <c r="AO75" i="1"/>
  <c r="AW75" i="1" s="1"/>
  <c r="AK75" i="1"/>
  <c r="AJ75" i="1"/>
  <c r="AH75" i="1"/>
  <c r="AG75" i="1"/>
  <c r="AF75" i="1"/>
  <c r="AE75" i="1"/>
  <c r="AD75" i="1"/>
  <c r="AC75" i="1"/>
  <c r="AB75" i="1"/>
  <c r="J75" i="1"/>
  <c r="AL75" i="1" s="1"/>
  <c r="BJ73" i="1"/>
  <c r="Z73" i="1" s="1"/>
  <c r="BF73" i="1"/>
  <c r="BD73" i="1"/>
  <c r="AP73" i="1"/>
  <c r="BI73" i="1" s="1"/>
  <c r="AO73" i="1"/>
  <c r="AW73" i="1" s="1"/>
  <c r="AK73" i="1"/>
  <c r="AJ73" i="1"/>
  <c r="AH73" i="1"/>
  <c r="AG73" i="1"/>
  <c r="AF73" i="1"/>
  <c r="AE73" i="1"/>
  <c r="AD73" i="1"/>
  <c r="AC73" i="1"/>
  <c r="AB73" i="1"/>
  <c r="J73" i="1"/>
  <c r="AL73" i="1" s="1"/>
  <c r="BJ71" i="1"/>
  <c r="Z71" i="1" s="1"/>
  <c r="BF71" i="1"/>
  <c r="BD71" i="1"/>
  <c r="AP71" i="1"/>
  <c r="AX71" i="1" s="1"/>
  <c r="AO71" i="1"/>
  <c r="AW71" i="1" s="1"/>
  <c r="AK71" i="1"/>
  <c r="AJ71" i="1"/>
  <c r="AH71" i="1"/>
  <c r="AG71" i="1"/>
  <c r="AF71" i="1"/>
  <c r="AE71" i="1"/>
  <c r="AD71" i="1"/>
  <c r="AC71" i="1"/>
  <c r="AB71" i="1"/>
  <c r="J71" i="1"/>
  <c r="AL71" i="1" s="1"/>
  <c r="BJ70" i="1"/>
  <c r="Z70" i="1" s="1"/>
  <c r="BF70" i="1"/>
  <c r="BD70" i="1"/>
  <c r="AP70" i="1"/>
  <c r="BI70" i="1" s="1"/>
  <c r="AO70" i="1"/>
  <c r="AK70" i="1"/>
  <c r="AJ70" i="1"/>
  <c r="AH70" i="1"/>
  <c r="AG70" i="1"/>
  <c r="AF70" i="1"/>
  <c r="AE70" i="1"/>
  <c r="AD70" i="1"/>
  <c r="AC70" i="1"/>
  <c r="AB70" i="1"/>
  <c r="J70" i="1"/>
  <c r="AL70" i="1" s="1"/>
  <c r="BJ68" i="1"/>
  <c r="Z68" i="1" s="1"/>
  <c r="BF68" i="1"/>
  <c r="BD68" i="1"/>
  <c r="AP68" i="1"/>
  <c r="I68" i="1" s="1"/>
  <c r="AO68" i="1"/>
  <c r="AK68" i="1"/>
  <c r="AJ68" i="1"/>
  <c r="AH68" i="1"/>
  <c r="AG68" i="1"/>
  <c r="AF68" i="1"/>
  <c r="AE68" i="1"/>
  <c r="AD68" i="1"/>
  <c r="AC68" i="1"/>
  <c r="AB68" i="1"/>
  <c r="J68" i="1"/>
  <c r="AL68" i="1" s="1"/>
  <c r="BJ66" i="1"/>
  <c r="Z66" i="1" s="1"/>
  <c r="BF66" i="1"/>
  <c r="BD66" i="1"/>
  <c r="AP66" i="1"/>
  <c r="AX66" i="1" s="1"/>
  <c r="AO66" i="1"/>
  <c r="AW66" i="1" s="1"/>
  <c r="AK66" i="1"/>
  <c r="AJ66" i="1"/>
  <c r="AH66" i="1"/>
  <c r="AG66" i="1"/>
  <c r="AF66" i="1"/>
  <c r="AE66" i="1"/>
  <c r="AD66" i="1"/>
  <c r="AC66" i="1"/>
  <c r="AB66" i="1"/>
  <c r="J66" i="1"/>
  <c r="AL66" i="1" s="1"/>
  <c r="BJ62" i="1"/>
  <c r="Z62" i="1" s="1"/>
  <c r="BF62" i="1"/>
  <c r="BD62" i="1"/>
  <c r="AP62" i="1"/>
  <c r="AX62" i="1" s="1"/>
  <c r="AO62" i="1"/>
  <c r="AW62" i="1" s="1"/>
  <c r="AK62" i="1"/>
  <c r="AJ62" i="1"/>
  <c r="AH62" i="1"/>
  <c r="AG62" i="1"/>
  <c r="AF62" i="1"/>
  <c r="AE62" i="1"/>
  <c r="AD62" i="1"/>
  <c r="AC62" i="1"/>
  <c r="AB62" i="1"/>
  <c r="J62" i="1"/>
  <c r="AL62" i="1" s="1"/>
  <c r="BJ58" i="1"/>
  <c r="Z58" i="1" s="1"/>
  <c r="BF58" i="1"/>
  <c r="BD58" i="1"/>
  <c r="AP58" i="1"/>
  <c r="I58" i="1" s="1"/>
  <c r="AO58" i="1"/>
  <c r="AK58" i="1"/>
  <c r="AJ58" i="1"/>
  <c r="AH58" i="1"/>
  <c r="AG58" i="1"/>
  <c r="AF58" i="1"/>
  <c r="AE58" i="1"/>
  <c r="AD58" i="1"/>
  <c r="AC58" i="1"/>
  <c r="AB58" i="1"/>
  <c r="J58" i="1"/>
  <c r="AL58" i="1" s="1"/>
  <c r="BJ57" i="1"/>
  <c r="Z57" i="1" s="1"/>
  <c r="BF57" i="1"/>
  <c r="BD57" i="1"/>
  <c r="AP57" i="1"/>
  <c r="I57" i="1" s="1"/>
  <c r="AO57" i="1"/>
  <c r="AK57" i="1"/>
  <c r="AJ57" i="1"/>
  <c r="AH57" i="1"/>
  <c r="AG57" i="1"/>
  <c r="AF57" i="1"/>
  <c r="AE57" i="1"/>
  <c r="AD57" i="1"/>
  <c r="AC57" i="1"/>
  <c r="AB57" i="1"/>
  <c r="J57" i="1"/>
  <c r="AL57" i="1" s="1"/>
  <c r="BJ56" i="1"/>
  <c r="Z56" i="1" s="1"/>
  <c r="BF56" i="1"/>
  <c r="BD56" i="1"/>
  <c r="AP56" i="1"/>
  <c r="AX56" i="1" s="1"/>
  <c r="AO56" i="1"/>
  <c r="AW56" i="1" s="1"/>
  <c r="AK56" i="1"/>
  <c r="AJ56" i="1"/>
  <c r="AH56" i="1"/>
  <c r="AG56" i="1"/>
  <c r="AF56" i="1"/>
  <c r="AE56" i="1"/>
  <c r="AD56" i="1"/>
  <c r="AC56" i="1"/>
  <c r="AB56" i="1"/>
  <c r="J56" i="1"/>
  <c r="AL56" i="1" s="1"/>
  <c r="BJ54" i="1"/>
  <c r="Z54" i="1" s="1"/>
  <c r="BF54" i="1"/>
  <c r="BD54" i="1"/>
  <c r="AP54" i="1"/>
  <c r="AX54" i="1" s="1"/>
  <c r="AO54" i="1"/>
  <c r="AW54" i="1" s="1"/>
  <c r="AK54" i="1"/>
  <c r="AJ54" i="1"/>
  <c r="AH54" i="1"/>
  <c r="AG54" i="1"/>
  <c r="AF54" i="1"/>
  <c r="AE54" i="1"/>
  <c r="AD54" i="1"/>
  <c r="AC54" i="1"/>
  <c r="AB54" i="1"/>
  <c r="J54" i="1"/>
  <c r="BJ52" i="1"/>
  <c r="BF52" i="1"/>
  <c r="BD52" i="1"/>
  <c r="AP52" i="1"/>
  <c r="AO52" i="1"/>
  <c r="BH52" i="1" s="1"/>
  <c r="AB52" i="1" s="1"/>
  <c r="AK52" i="1"/>
  <c r="AJ52" i="1"/>
  <c r="AH52" i="1"/>
  <c r="AG52" i="1"/>
  <c r="AF52" i="1"/>
  <c r="AE52" i="1"/>
  <c r="AD52" i="1"/>
  <c r="Z52" i="1"/>
  <c r="J52" i="1"/>
  <c r="AL52" i="1" s="1"/>
  <c r="BJ50" i="1"/>
  <c r="BF50" i="1"/>
  <c r="BD50" i="1"/>
  <c r="AP50" i="1"/>
  <c r="I50" i="1" s="1"/>
  <c r="AO50" i="1"/>
  <c r="H50" i="1" s="1"/>
  <c r="AK50" i="1"/>
  <c r="AJ50" i="1"/>
  <c r="AH50" i="1"/>
  <c r="AG50" i="1"/>
  <c r="AF50" i="1"/>
  <c r="AE50" i="1"/>
  <c r="AD50" i="1"/>
  <c r="Z50" i="1"/>
  <c r="J50" i="1"/>
  <c r="AL50" i="1" s="1"/>
  <c r="BJ48" i="1"/>
  <c r="BF48" i="1"/>
  <c r="BD48" i="1"/>
  <c r="AP48" i="1"/>
  <c r="AX48" i="1" s="1"/>
  <c r="AO48" i="1"/>
  <c r="AK48" i="1"/>
  <c r="AJ48" i="1"/>
  <c r="AH48" i="1"/>
  <c r="AG48" i="1"/>
  <c r="AF48" i="1"/>
  <c r="AE48" i="1"/>
  <c r="AD48" i="1"/>
  <c r="Z48" i="1"/>
  <c r="J48" i="1"/>
  <c r="BJ46" i="1"/>
  <c r="BF46" i="1"/>
  <c r="BD46" i="1"/>
  <c r="AP46" i="1"/>
  <c r="AO46" i="1"/>
  <c r="H46" i="1" s="1"/>
  <c r="AK46" i="1"/>
  <c r="AJ46" i="1"/>
  <c r="AH46" i="1"/>
  <c r="AG46" i="1"/>
  <c r="AF46" i="1"/>
  <c r="AE46" i="1"/>
  <c r="AD46" i="1"/>
  <c r="Z46" i="1"/>
  <c r="J46" i="1"/>
  <c r="AL46" i="1" s="1"/>
  <c r="BJ44" i="1"/>
  <c r="BF44" i="1"/>
  <c r="BD44" i="1"/>
  <c r="AP44" i="1"/>
  <c r="BI44" i="1" s="1"/>
  <c r="AC44" i="1" s="1"/>
  <c r="AO44" i="1"/>
  <c r="BH44" i="1" s="1"/>
  <c r="AB44" i="1" s="1"/>
  <c r="AK44" i="1"/>
  <c r="AJ44" i="1"/>
  <c r="AH44" i="1"/>
  <c r="AG44" i="1"/>
  <c r="AF44" i="1"/>
  <c r="AE44" i="1"/>
  <c r="AD44" i="1"/>
  <c r="Z44" i="1"/>
  <c r="J44" i="1"/>
  <c r="AL44" i="1" s="1"/>
  <c r="BJ42" i="1"/>
  <c r="BF42" i="1"/>
  <c r="BD42" i="1"/>
  <c r="AP42" i="1"/>
  <c r="AX42" i="1" s="1"/>
  <c r="AO42" i="1"/>
  <c r="AW42" i="1" s="1"/>
  <c r="AK42" i="1"/>
  <c r="AJ42" i="1"/>
  <c r="AH42" i="1"/>
  <c r="AG42" i="1"/>
  <c r="AF42" i="1"/>
  <c r="AE42" i="1"/>
  <c r="AD42" i="1"/>
  <c r="Z42" i="1"/>
  <c r="J42" i="1"/>
  <c r="BJ40" i="1"/>
  <c r="BF40" i="1"/>
  <c r="BD40" i="1"/>
  <c r="AP40" i="1"/>
  <c r="BI40" i="1" s="1"/>
  <c r="AC40" i="1" s="1"/>
  <c r="AO40" i="1"/>
  <c r="BH40" i="1" s="1"/>
  <c r="AB40" i="1" s="1"/>
  <c r="AK40" i="1"/>
  <c r="AJ40" i="1"/>
  <c r="AH40" i="1"/>
  <c r="AG40" i="1"/>
  <c r="AF40" i="1"/>
  <c r="AE40" i="1"/>
  <c r="AD40" i="1"/>
  <c r="Z40" i="1"/>
  <c r="J40" i="1"/>
  <c r="AL40" i="1" s="1"/>
  <c r="BJ37" i="1"/>
  <c r="BF37" i="1"/>
  <c r="BD37" i="1"/>
  <c r="AP37" i="1"/>
  <c r="BI37" i="1" s="1"/>
  <c r="AC37" i="1" s="1"/>
  <c r="AO37" i="1"/>
  <c r="H37" i="1" s="1"/>
  <c r="AK37" i="1"/>
  <c r="AJ37" i="1"/>
  <c r="AH37" i="1"/>
  <c r="AG37" i="1"/>
  <c r="AF37" i="1"/>
  <c r="AE37" i="1"/>
  <c r="AD37" i="1"/>
  <c r="Z37" i="1"/>
  <c r="J37" i="1"/>
  <c r="AL37" i="1" s="1"/>
  <c r="BJ35" i="1"/>
  <c r="BF35" i="1"/>
  <c r="BD35" i="1"/>
  <c r="AP35" i="1"/>
  <c r="AX35" i="1" s="1"/>
  <c r="AO35" i="1"/>
  <c r="AW35" i="1" s="1"/>
  <c r="AK35" i="1"/>
  <c r="AJ35" i="1"/>
  <c r="AH35" i="1"/>
  <c r="AG35" i="1"/>
  <c r="AF35" i="1"/>
  <c r="AE35" i="1"/>
  <c r="AD35" i="1"/>
  <c r="Z35" i="1"/>
  <c r="J35" i="1"/>
  <c r="AL35" i="1" s="1"/>
  <c r="BJ33" i="1"/>
  <c r="BF33" i="1"/>
  <c r="BD33" i="1"/>
  <c r="AP33" i="1"/>
  <c r="BI33" i="1" s="1"/>
  <c r="AC33" i="1" s="1"/>
  <c r="AO33" i="1"/>
  <c r="H33" i="1" s="1"/>
  <c r="AK33" i="1"/>
  <c r="AJ33" i="1"/>
  <c r="AH33" i="1"/>
  <c r="AG33" i="1"/>
  <c r="AF33" i="1"/>
  <c r="AE33" i="1"/>
  <c r="AD33" i="1"/>
  <c r="Z33" i="1"/>
  <c r="J33" i="1"/>
  <c r="AL33" i="1" s="1"/>
  <c r="BJ31" i="1"/>
  <c r="BF31" i="1"/>
  <c r="BD31" i="1"/>
  <c r="AP31" i="1"/>
  <c r="BI31" i="1" s="1"/>
  <c r="AC31" i="1" s="1"/>
  <c r="AO31" i="1"/>
  <c r="H31" i="1" s="1"/>
  <c r="AK31" i="1"/>
  <c r="AJ31" i="1"/>
  <c r="AH31" i="1"/>
  <c r="AG31" i="1"/>
  <c r="AF31" i="1"/>
  <c r="AE31" i="1"/>
  <c r="AD31" i="1"/>
  <c r="Z31" i="1"/>
  <c r="J31" i="1"/>
  <c r="AL31" i="1" s="1"/>
  <c r="BJ29" i="1"/>
  <c r="BF29" i="1"/>
  <c r="BD29" i="1"/>
  <c r="AP29" i="1"/>
  <c r="AX29" i="1" s="1"/>
  <c r="AO29" i="1"/>
  <c r="AW29" i="1" s="1"/>
  <c r="AK29" i="1"/>
  <c r="AJ29" i="1"/>
  <c r="AH29" i="1"/>
  <c r="AG29" i="1"/>
  <c r="AF29" i="1"/>
  <c r="AE29" i="1"/>
  <c r="AD29" i="1"/>
  <c r="Z29" i="1"/>
  <c r="J29" i="1"/>
  <c r="BJ27" i="1"/>
  <c r="BF27" i="1"/>
  <c r="BD27" i="1"/>
  <c r="AP27" i="1"/>
  <c r="I27" i="1" s="1"/>
  <c r="AO27" i="1"/>
  <c r="H27" i="1" s="1"/>
  <c r="AK27" i="1"/>
  <c r="AJ27" i="1"/>
  <c r="AH27" i="1"/>
  <c r="AG27" i="1"/>
  <c r="AF27" i="1"/>
  <c r="AE27" i="1"/>
  <c r="AD27" i="1"/>
  <c r="Z27" i="1"/>
  <c r="J27" i="1"/>
  <c r="AL27" i="1" s="1"/>
  <c r="BJ25" i="1"/>
  <c r="BF25" i="1"/>
  <c r="BD25" i="1"/>
  <c r="AP25" i="1"/>
  <c r="I25" i="1" s="1"/>
  <c r="AO25" i="1"/>
  <c r="H25" i="1" s="1"/>
  <c r="AK25" i="1"/>
  <c r="AJ25" i="1"/>
  <c r="AH25" i="1"/>
  <c r="AG25" i="1"/>
  <c r="AF25" i="1"/>
  <c r="AC25" i="1"/>
  <c r="AB25" i="1"/>
  <c r="Z25" i="1"/>
  <c r="J25" i="1"/>
  <c r="AL25" i="1" s="1"/>
  <c r="BJ24" i="1"/>
  <c r="BF24" i="1"/>
  <c r="BD24" i="1"/>
  <c r="AP24" i="1"/>
  <c r="AX24" i="1" s="1"/>
  <c r="AO24" i="1"/>
  <c r="AW24" i="1" s="1"/>
  <c r="AK24" i="1"/>
  <c r="AJ24" i="1"/>
  <c r="AH24" i="1"/>
  <c r="AG24" i="1"/>
  <c r="AF24" i="1"/>
  <c r="AC24" i="1"/>
  <c r="AB24" i="1"/>
  <c r="Z24" i="1"/>
  <c r="J24" i="1"/>
  <c r="BJ22" i="1"/>
  <c r="BF22" i="1"/>
  <c r="BD22" i="1"/>
  <c r="AP22" i="1"/>
  <c r="BI22" i="1" s="1"/>
  <c r="AE22" i="1" s="1"/>
  <c r="AO22" i="1"/>
  <c r="BH22" i="1" s="1"/>
  <c r="AD22" i="1" s="1"/>
  <c r="AK22" i="1"/>
  <c r="AT21" i="1" s="1"/>
  <c r="AJ22" i="1"/>
  <c r="AS21" i="1" s="1"/>
  <c r="AH22" i="1"/>
  <c r="AG22" i="1"/>
  <c r="AF22" i="1"/>
  <c r="AC22" i="1"/>
  <c r="AB22" i="1"/>
  <c r="Z22" i="1"/>
  <c r="J22" i="1"/>
  <c r="AL22" i="1" s="1"/>
  <c r="AU21" i="1" s="1"/>
  <c r="BJ20" i="1"/>
  <c r="BF20" i="1"/>
  <c r="BD20" i="1"/>
  <c r="AP20" i="1"/>
  <c r="BI20" i="1" s="1"/>
  <c r="AC20" i="1" s="1"/>
  <c r="AO20" i="1"/>
  <c r="BH20" i="1" s="1"/>
  <c r="AB20" i="1" s="1"/>
  <c r="AK20" i="1"/>
  <c r="AT19" i="1" s="1"/>
  <c r="AJ20" i="1"/>
  <c r="AS19" i="1" s="1"/>
  <c r="AH20" i="1"/>
  <c r="AG20" i="1"/>
  <c r="AF20" i="1"/>
  <c r="AE20" i="1"/>
  <c r="AD20" i="1"/>
  <c r="Z20" i="1"/>
  <c r="J20" i="1"/>
  <c r="AL20" i="1" s="1"/>
  <c r="AU19" i="1" s="1"/>
  <c r="BJ18" i="1"/>
  <c r="BF18" i="1"/>
  <c r="BD18" i="1"/>
  <c r="AP18" i="1"/>
  <c r="BI18" i="1" s="1"/>
  <c r="AC18" i="1" s="1"/>
  <c r="AO18" i="1"/>
  <c r="H18" i="1" s="1"/>
  <c r="H17" i="1" s="1"/>
  <c r="AK18" i="1"/>
  <c r="AT17" i="1" s="1"/>
  <c r="AJ18" i="1"/>
  <c r="AS17" i="1" s="1"/>
  <c r="AH18" i="1"/>
  <c r="AG18" i="1"/>
  <c r="AF18" i="1"/>
  <c r="AE18" i="1"/>
  <c r="AD18" i="1"/>
  <c r="Z18" i="1"/>
  <c r="J18" i="1"/>
  <c r="AL18" i="1" s="1"/>
  <c r="AU17" i="1" s="1"/>
  <c r="BJ15" i="1"/>
  <c r="BF15" i="1"/>
  <c r="BD15" i="1"/>
  <c r="AP15" i="1"/>
  <c r="I15" i="1" s="1"/>
  <c r="AO15" i="1"/>
  <c r="AK15" i="1"/>
  <c r="AJ15" i="1"/>
  <c r="AH15" i="1"/>
  <c r="AG15" i="1"/>
  <c r="AF15" i="1"/>
  <c r="AE15" i="1"/>
  <c r="AD15" i="1"/>
  <c r="Z15" i="1"/>
  <c r="J15" i="1"/>
  <c r="AL15" i="1" s="1"/>
  <c r="BJ13" i="1"/>
  <c r="BF13" i="1"/>
  <c r="BD13" i="1"/>
  <c r="AP13" i="1"/>
  <c r="AO13" i="1"/>
  <c r="H13" i="1" s="1"/>
  <c r="AK13" i="1"/>
  <c r="AJ13" i="1"/>
  <c r="AH13" i="1"/>
  <c r="AG13" i="1"/>
  <c r="AF13" i="1"/>
  <c r="AE13" i="1"/>
  <c r="AD13" i="1"/>
  <c r="Z13" i="1"/>
  <c r="J13" i="1"/>
  <c r="AL13" i="1" s="1"/>
  <c r="AU1" i="1"/>
  <c r="AT1" i="1"/>
  <c r="AS1" i="1"/>
  <c r="H89" i="1" l="1"/>
  <c r="I29" i="1"/>
  <c r="BH42" i="1"/>
  <c r="AB42" i="1" s="1"/>
  <c r="AU32" i="1"/>
  <c r="BH85" i="1"/>
  <c r="BH24" i="1"/>
  <c r="AD24" i="1" s="1"/>
  <c r="I35" i="1"/>
  <c r="AX25" i="1"/>
  <c r="AX50" i="1"/>
  <c r="BI85" i="1"/>
  <c r="AT23" i="1"/>
  <c r="BI50" i="1"/>
  <c r="AC50" i="1" s="1"/>
  <c r="AS47" i="1"/>
  <c r="H52" i="1"/>
  <c r="J19" i="1"/>
  <c r="F40" i="3"/>
  <c r="I40" i="3" s="1"/>
  <c r="AV56" i="1"/>
  <c r="AX33" i="1"/>
  <c r="BH82" i="1"/>
  <c r="AW31" i="1"/>
  <c r="J23" i="1"/>
  <c r="BH31" i="1"/>
  <c r="AB31" i="1" s="1"/>
  <c r="I62" i="1"/>
  <c r="H82" i="1"/>
  <c r="I82" i="1"/>
  <c r="BH71" i="1"/>
  <c r="I73" i="1"/>
  <c r="AT87" i="1"/>
  <c r="AW20" i="1"/>
  <c r="BH35" i="1"/>
  <c r="AB35" i="1" s="1"/>
  <c r="AS87" i="1"/>
  <c r="I54" i="1"/>
  <c r="AW50" i="1"/>
  <c r="AV50" i="1" s="1"/>
  <c r="AW86" i="1"/>
  <c r="H42" i="1"/>
  <c r="I42" i="1"/>
  <c r="BI82" i="1"/>
  <c r="I89" i="1"/>
  <c r="H35" i="1"/>
  <c r="H32" i="1" s="1"/>
  <c r="BH73" i="1"/>
  <c r="I18" i="1"/>
  <c r="I17" i="1" s="1"/>
  <c r="BH86" i="1"/>
  <c r="AS23" i="1"/>
  <c r="BH25" i="1"/>
  <c r="AD25" i="1" s="1"/>
  <c r="C16" i="2" s="1"/>
  <c r="J32" i="1"/>
  <c r="H73" i="1"/>
  <c r="BI25" i="1"/>
  <c r="AE25" i="1" s="1"/>
  <c r="AL24" i="1"/>
  <c r="AU23" i="1" s="1"/>
  <c r="BH62" i="1"/>
  <c r="BI62" i="1"/>
  <c r="AX70" i="1"/>
  <c r="BI42" i="1"/>
  <c r="AC42" i="1" s="1"/>
  <c r="BI48" i="1"/>
  <c r="AC48" i="1" s="1"/>
  <c r="H66" i="1"/>
  <c r="BI89" i="1"/>
  <c r="AS32" i="1"/>
  <c r="I44" i="1"/>
  <c r="AX58" i="1"/>
  <c r="J12" i="1"/>
  <c r="I56" i="1"/>
  <c r="AU12" i="1"/>
  <c r="F37" i="3"/>
  <c r="I37" i="3" s="1"/>
  <c r="AX79" i="1"/>
  <c r="BC66" i="1"/>
  <c r="AV66" i="1"/>
  <c r="BI24" i="1"/>
  <c r="AE24" i="1" s="1"/>
  <c r="AS26" i="1"/>
  <c r="BH29" i="1"/>
  <c r="AB29" i="1" s="1"/>
  <c r="BH56" i="1"/>
  <c r="C20" i="2"/>
  <c r="AT26" i="1"/>
  <c r="BI29" i="1"/>
  <c r="AC29" i="1" s="1"/>
  <c r="BI56" i="1"/>
  <c r="H79" i="1"/>
  <c r="I24" i="1"/>
  <c r="I23" i="1" s="1"/>
  <c r="BH54" i="1"/>
  <c r="BH66" i="1"/>
  <c r="AX73" i="1"/>
  <c r="BC73" i="1" s="1"/>
  <c r="I79" i="1"/>
  <c r="AL93" i="1"/>
  <c r="AU92" i="1" s="1"/>
  <c r="AV35" i="1"/>
  <c r="BI54" i="1"/>
  <c r="BI66" i="1"/>
  <c r="I85" i="1"/>
  <c r="AL91" i="1"/>
  <c r="AU90" i="1" s="1"/>
  <c r="AT32" i="1"/>
  <c r="H56" i="1"/>
  <c r="AX27" i="1"/>
  <c r="AV42" i="1"/>
  <c r="AW91" i="1"/>
  <c r="AW89" i="1"/>
  <c r="AV89" i="1" s="1"/>
  <c r="J21" i="1"/>
  <c r="BI35" i="1"/>
  <c r="AC35" i="1" s="1"/>
  <c r="AS39" i="1"/>
  <c r="I66" i="1"/>
  <c r="BI71" i="1"/>
  <c r="BC82" i="1"/>
  <c r="H29" i="1"/>
  <c r="H26" i="1" s="1"/>
  <c r="AT39" i="1"/>
  <c r="AS78" i="1"/>
  <c r="F29" i="3"/>
  <c r="AW25" i="1"/>
  <c r="AW33" i="1"/>
  <c r="AT78" i="1"/>
  <c r="AW88" i="1"/>
  <c r="AV88" i="1" s="1"/>
  <c r="J53" i="1"/>
  <c r="I27" i="3"/>
  <c r="AW40" i="1"/>
  <c r="BI88" i="1"/>
  <c r="AX15" i="1"/>
  <c r="AT47" i="1"/>
  <c r="BH50" i="1"/>
  <c r="AB50" i="1" s="1"/>
  <c r="I71" i="1"/>
  <c r="AW79" i="1"/>
  <c r="C27" i="2"/>
  <c r="I22" i="2"/>
  <c r="AT12" i="1"/>
  <c r="F36" i="3"/>
  <c r="I36" i="3" s="1"/>
  <c r="C21" i="2"/>
  <c r="AV62" i="1"/>
  <c r="BC62" i="1"/>
  <c r="AL79" i="1"/>
  <c r="AU78" i="1" s="1"/>
  <c r="J78" i="1"/>
  <c r="BH68" i="1"/>
  <c r="H68" i="1"/>
  <c r="AW83" i="1"/>
  <c r="I13" i="1"/>
  <c r="I12" i="1" s="1"/>
  <c r="BI13" i="1"/>
  <c r="AC13" i="1" s="1"/>
  <c r="AX68" i="1"/>
  <c r="AX13" i="1"/>
  <c r="I22" i="1"/>
  <c r="I21" i="1" s="1"/>
  <c r="AW37" i="1"/>
  <c r="AX37" i="1"/>
  <c r="C28" i="2"/>
  <c r="F28" i="2" s="1"/>
  <c r="AS12" i="1"/>
  <c r="AW46" i="1"/>
  <c r="BH46" i="1"/>
  <c r="AB46" i="1" s="1"/>
  <c r="AW18" i="1"/>
  <c r="AX18" i="1"/>
  <c r="J17" i="1"/>
  <c r="BH37" i="1"/>
  <c r="AB37" i="1" s="1"/>
  <c r="AW44" i="1"/>
  <c r="AT53" i="1"/>
  <c r="BH80" i="1"/>
  <c r="H80" i="1"/>
  <c r="BH57" i="1"/>
  <c r="H57" i="1"/>
  <c r="BC85" i="1"/>
  <c r="AV85" i="1"/>
  <c r="AW57" i="1"/>
  <c r="AV71" i="1"/>
  <c r="BC71" i="1"/>
  <c r="AV29" i="1"/>
  <c r="BC29" i="1"/>
  <c r="AX57" i="1"/>
  <c r="BH70" i="1"/>
  <c r="H70" i="1"/>
  <c r="AW70" i="1"/>
  <c r="BI84" i="1"/>
  <c r="AX84" i="1"/>
  <c r="I84" i="1"/>
  <c r="AX86" i="1"/>
  <c r="I93" i="1"/>
  <c r="I92" i="1" s="1"/>
  <c r="AW13" i="1"/>
  <c r="H22" i="1"/>
  <c r="H21" i="1" s="1"/>
  <c r="J81" i="1"/>
  <c r="AL82" i="1"/>
  <c r="AU81" i="1" s="1"/>
  <c r="H83" i="1"/>
  <c r="BC35" i="1"/>
  <c r="I31" i="1"/>
  <c r="I26" i="1" s="1"/>
  <c r="AS53" i="1"/>
  <c r="AL54" i="1"/>
  <c r="AU53" i="1" s="1"/>
  <c r="I80" i="1"/>
  <c r="BI80" i="1"/>
  <c r="C19" i="2"/>
  <c r="BC24" i="1"/>
  <c r="AV24" i="1"/>
  <c r="J47" i="1"/>
  <c r="AL48" i="1"/>
  <c r="AU47" i="1" s="1"/>
  <c r="BH27" i="1"/>
  <c r="AB27" i="1" s="1"/>
  <c r="BH84" i="1"/>
  <c r="AW84" i="1"/>
  <c r="H84" i="1"/>
  <c r="H15" i="1"/>
  <c r="H12" i="1" s="1"/>
  <c r="BH15" i="1"/>
  <c r="AB15" i="1" s="1"/>
  <c r="BH75" i="1"/>
  <c r="H75" i="1"/>
  <c r="H93" i="1"/>
  <c r="H92" i="1" s="1"/>
  <c r="BI57" i="1"/>
  <c r="I83" i="1"/>
  <c r="I40" i="1"/>
  <c r="AX40" i="1"/>
  <c r="BI68" i="1"/>
  <c r="BI86" i="1"/>
  <c r="I37" i="1"/>
  <c r="AS81" i="1"/>
  <c r="BH58" i="1"/>
  <c r="AW58" i="1"/>
  <c r="H58" i="1"/>
  <c r="BC56" i="1"/>
  <c r="AW22" i="1"/>
  <c r="AX22" i="1"/>
  <c r="AX93" i="1"/>
  <c r="AX83" i="1"/>
  <c r="AX31" i="1"/>
  <c r="AW15" i="1"/>
  <c r="AX20" i="1"/>
  <c r="I20" i="1"/>
  <c r="I19" i="1" s="1"/>
  <c r="BI52" i="1"/>
  <c r="AC52" i="1" s="1"/>
  <c r="I52" i="1"/>
  <c r="AV54" i="1"/>
  <c r="BC54" i="1"/>
  <c r="BH18" i="1"/>
  <c r="AB18" i="1" s="1"/>
  <c r="AW52" i="1"/>
  <c r="AW80" i="1"/>
  <c r="AT81" i="1"/>
  <c r="AL89" i="1"/>
  <c r="AU87" i="1" s="1"/>
  <c r="J87" i="1"/>
  <c r="AW93" i="1"/>
  <c r="AW27" i="1"/>
  <c r="AW68" i="1"/>
  <c r="AX75" i="1"/>
  <c r="AV75" i="1" s="1"/>
  <c r="BH13" i="1"/>
  <c r="AB13" i="1" s="1"/>
  <c r="J26" i="1"/>
  <c r="AL29" i="1"/>
  <c r="AU26" i="1" s="1"/>
  <c r="BC42" i="1"/>
  <c r="AX46" i="1"/>
  <c r="BI46" i="1"/>
  <c r="AC46" i="1" s="1"/>
  <c r="I46" i="1"/>
  <c r="AW48" i="1"/>
  <c r="H48" i="1"/>
  <c r="BI75" i="1"/>
  <c r="AX44" i="1"/>
  <c r="BH48" i="1"/>
  <c r="AB48" i="1" s="1"/>
  <c r="C18" i="2"/>
  <c r="AL42" i="1"/>
  <c r="AU39" i="1" s="1"/>
  <c r="J39" i="1"/>
  <c r="H44" i="1"/>
  <c r="AX52" i="1"/>
  <c r="AX80" i="1"/>
  <c r="AV82" i="1"/>
  <c r="AX91" i="1"/>
  <c r="I70" i="1"/>
  <c r="H20" i="1"/>
  <c r="H19" i="1" s="1"/>
  <c r="I33" i="1"/>
  <c r="H40" i="1"/>
  <c r="BI58" i="1"/>
  <c r="H88" i="1"/>
  <c r="BH91" i="1"/>
  <c r="BI15" i="1"/>
  <c r="AC15" i="1" s="1"/>
  <c r="BI27" i="1"/>
  <c r="AC27" i="1" s="1"/>
  <c r="BH33" i="1"/>
  <c r="AB33" i="1" s="1"/>
  <c r="I88" i="1"/>
  <c r="BI91" i="1"/>
  <c r="H24" i="1"/>
  <c r="H23" i="1" s="1"/>
  <c r="I48" i="1"/>
  <c r="H54" i="1"/>
  <c r="H62" i="1"/>
  <c r="H71" i="1"/>
  <c r="H85" i="1"/>
  <c r="H47" i="1" l="1"/>
  <c r="H87" i="1"/>
  <c r="I87" i="1"/>
  <c r="I32" i="1"/>
  <c r="I47" i="1"/>
  <c r="AV91" i="1"/>
  <c r="AV20" i="1"/>
  <c r="I53" i="1"/>
  <c r="AV31" i="1"/>
  <c r="BC50" i="1"/>
  <c r="AV86" i="1"/>
  <c r="I45" i="3"/>
  <c r="I24" i="2" s="1"/>
  <c r="AV79" i="1"/>
  <c r="C17" i="2"/>
  <c r="BC91" i="1"/>
  <c r="H78" i="1"/>
  <c r="H81" i="1"/>
  <c r="AV40" i="1"/>
  <c r="C14" i="2"/>
  <c r="J94" i="1"/>
  <c r="BC86" i="1"/>
  <c r="BC25" i="1"/>
  <c r="AV25" i="1"/>
  <c r="I78" i="1"/>
  <c r="BC33" i="1"/>
  <c r="AV33" i="1"/>
  <c r="BC79" i="1"/>
  <c r="AV73" i="1"/>
  <c r="BC88" i="1"/>
  <c r="I39" i="1"/>
  <c r="BC89" i="1"/>
  <c r="C29" i="2"/>
  <c r="F29" i="2" s="1"/>
  <c r="C15" i="2"/>
  <c r="I81" i="1"/>
  <c r="AV15" i="1"/>
  <c r="BC15" i="1"/>
  <c r="AV27" i="1"/>
  <c r="BC27" i="1"/>
  <c r="J77" i="1"/>
  <c r="AV57" i="1"/>
  <c r="BC57" i="1"/>
  <c r="BC44" i="1"/>
  <c r="AV44" i="1"/>
  <c r="BC20" i="1"/>
  <c r="BC40" i="1"/>
  <c r="AV70" i="1"/>
  <c r="BC70" i="1"/>
  <c r="BC93" i="1"/>
  <c r="AV93" i="1"/>
  <c r="BC46" i="1"/>
  <c r="AV46" i="1"/>
  <c r="AV52" i="1"/>
  <c r="BC52" i="1"/>
  <c r="AV13" i="1"/>
  <c r="BC13" i="1"/>
  <c r="BC68" i="1"/>
  <c r="AV68" i="1"/>
  <c r="AV18" i="1"/>
  <c r="BC18" i="1"/>
  <c r="AV22" i="1"/>
  <c r="BC22" i="1"/>
  <c r="AV48" i="1"/>
  <c r="BC48" i="1"/>
  <c r="AV84" i="1"/>
  <c r="BC84" i="1"/>
  <c r="AV58" i="1"/>
  <c r="BC58" i="1"/>
  <c r="BC75" i="1"/>
  <c r="H53" i="1"/>
  <c r="BC83" i="1"/>
  <c r="AV83" i="1"/>
  <c r="AV80" i="1"/>
  <c r="BC80" i="1"/>
  <c r="H39" i="1"/>
  <c r="BC31" i="1"/>
  <c r="BC37" i="1"/>
  <c r="AV37" i="1"/>
  <c r="H77" i="1" l="1"/>
  <c r="C22" i="2"/>
  <c r="I77" i="1"/>
  <c r="I28" i="2"/>
  <c r="I29" i="2" s="1"/>
</calcChain>
</file>

<file path=xl/sharedStrings.xml><?xml version="1.0" encoding="utf-8"?>
<sst xmlns="http://schemas.openxmlformats.org/spreadsheetml/2006/main" count="964" uniqueCount="340">
  <si>
    <t>Slepý stavební rozpočet</t>
  </si>
  <si>
    <t>Název stavby:</t>
  </si>
  <si>
    <t>Odstranění objektu Pilnice - Mariánské Lázně č. p. 205/3</t>
  </si>
  <si>
    <t>Doba výstavby:</t>
  </si>
  <si>
    <t>Objednatel:</t>
  </si>
  <si>
    <t>Město Mariánské Lázně</t>
  </si>
  <si>
    <t>Druh stavby:</t>
  </si>
  <si>
    <t>Pilnice - odstranění stavby</t>
  </si>
  <si>
    <t>Začátek výstavby:</t>
  </si>
  <si>
    <t>Projektant:</t>
  </si>
  <si>
    <t>T-projekt, Mariánské Lázně</t>
  </si>
  <si>
    <t>Lokalita:</t>
  </si>
  <si>
    <t>Mariánské Lázně, U Pily 205/3</t>
  </si>
  <si>
    <t>Konec výstavby:</t>
  </si>
  <si>
    <t>Zhotovitel:</t>
  </si>
  <si>
    <t> </t>
  </si>
  <si>
    <t>JKSO:</t>
  </si>
  <si>
    <t xml:space="preserve"> </t>
  </si>
  <si>
    <t>Zpracováno dne:</t>
  </si>
  <si>
    <t>Zpracoval:</t>
  </si>
  <si>
    <t>Č</t>
  </si>
  <si>
    <t>Kód</t>
  </si>
  <si>
    <t>Zkrácený popis</t>
  </si>
  <si>
    <t>MJ</t>
  </si>
  <si>
    <t>Množství</t>
  </si>
  <si>
    <t>Cena/MJ</t>
  </si>
  <si>
    <t>Náklady (Kč)</t>
  </si>
  <si>
    <t>ISWORK</t>
  </si>
  <si>
    <t>GROUPCODE</t>
  </si>
  <si>
    <t>VATTAX</t>
  </si>
  <si>
    <t>Rozměry</t>
  </si>
  <si>
    <t>(Kč)</t>
  </si>
  <si>
    <t>Dodávka</t>
  </si>
  <si>
    <t>Montáž</t>
  </si>
  <si>
    <t>Celkem</t>
  </si>
  <si>
    <t>Přesuny</t>
  </si>
  <si>
    <t>Typ skupiny</t>
  </si>
  <si>
    <t>HSV mat</t>
  </si>
  <si>
    <t>HSV prac</t>
  </si>
  <si>
    <t>PSV mat</t>
  </si>
  <si>
    <t>PSV prac</t>
  </si>
  <si>
    <t>Mont mat</t>
  </si>
  <si>
    <t>Mont prac</t>
  </si>
  <si>
    <t>Ostatní mat.</t>
  </si>
  <si>
    <t>MAT</t>
  </si>
  <si>
    <t>WORK</t>
  </si>
  <si>
    <t>CELK</t>
  </si>
  <si>
    <t/>
  </si>
  <si>
    <t>17</t>
  </si>
  <si>
    <t>Konstrukce ze zemin</t>
  </si>
  <si>
    <t>1</t>
  </si>
  <si>
    <t>174101101R00</t>
  </si>
  <si>
    <t>Zásyp jam, rýh, šachet se zhutněním</t>
  </si>
  <si>
    <t>m3</t>
  </si>
  <si>
    <t>17_</t>
  </si>
  <si>
    <t>1_</t>
  </si>
  <si>
    <t>_</t>
  </si>
  <si>
    <t>P</t>
  </si>
  <si>
    <t>RTS komentář:</t>
  </si>
  <si>
    <t>Položka obsahuje strojní přemístění materiálu pro zásyp ze vzdálenosti do 10 m od okraje zásypu.</t>
  </si>
  <si>
    <t>2</t>
  </si>
  <si>
    <t>171102103R00</t>
  </si>
  <si>
    <t>Uložení drceného materiálu - sypaniny do násypů - hutněných</t>
  </si>
  <si>
    <t>Položky se používají pro násypy dálnic a letišť z hornin soudržných s předepsanou mírou zhutnění.</t>
  </si>
  <si>
    <t>18</t>
  </si>
  <si>
    <t>Povrchové úpravy terénu</t>
  </si>
  <si>
    <t>3</t>
  </si>
  <si>
    <t>181006113R00</t>
  </si>
  <si>
    <t>Rozprostření zemin v rov./sklonu 1:5, tl. do 20 cm</t>
  </si>
  <si>
    <t>m2</t>
  </si>
  <si>
    <t>18_</t>
  </si>
  <si>
    <t>54</t>
  </si>
  <si>
    <t>Jeřáby</t>
  </si>
  <si>
    <t>4</t>
  </si>
  <si>
    <t>542992111R00</t>
  </si>
  <si>
    <t>Jištění, demontáž a nakládání konstrukcí - mobilní jeřáb</t>
  </si>
  <si>
    <t>54_</t>
  </si>
  <si>
    <t>5_</t>
  </si>
  <si>
    <t>711</t>
  </si>
  <si>
    <t>Izolace proti vodě</t>
  </si>
  <si>
    <t>5</t>
  </si>
  <si>
    <t>711130101R00</t>
  </si>
  <si>
    <t>Odstr.izolace proti vlhk.vodor. pásy na sucho,1 vrstva - pod plechovou krytinou</t>
  </si>
  <si>
    <t>7</t>
  </si>
  <si>
    <t>711_</t>
  </si>
  <si>
    <t>71_</t>
  </si>
  <si>
    <t>764</t>
  </si>
  <si>
    <t>Konstrukce klempířské</t>
  </si>
  <si>
    <t>6</t>
  </si>
  <si>
    <t>764312822R00</t>
  </si>
  <si>
    <t>Demont. krytiny PZ - tab.2 x 0,67 m, nad 25 m2, do 30° - hala/ pilnice</t>
  </si>
  <si>
    <t>764_</t>
  </si>
  <si>
    <t>76_</t>
  </si>
  <si>
    <t>Demont. krytiny, tab.2 x 0,67 m, nad 25 m2, do 30° - administrativa + atiky</t>
  </si>
  <si>
    <t>94</t>
  </si>
  <si>
    <t>Lešení a stavební výtahy</t>
  </si>
  <si>
    <t>8</t>
  </si>
  <si>
    <t>941941042R00</t>
  </si>
  <si>
    <t>Montáž lešení leh.řad.s podlahami,š.1,2 m, H 30 m - komín</t>
  </si>
  <si>
    <t>94_</t>
  </si>
  <si>
    <t>9_</t>
  </si>
  <si>
    <t>V položce jsou zakalkulovány i náklady na kotvení lešení a dopravu (30 km)</t>
  </si>
  <si>
    <t>9</t>
  </si>
  <si>
    <t>941941111R00</t>
  </si>
  <si>
    <t>Pronájem lešení za den = 660 x 35</t>
  </si>
  <si>
    <t>Položku nelze používat současně s položkami 941 94-1191 až -1392 pro jedno časové období.  V ceně půjčovného lešení je zahrnuto také protokolární předání a převzetí lešení a veškeré revize stavu lešení. Od CÚ 2025/ II. včetně okopových zarážek</t>
  </si>
  <si>
    <t>10</t>
  </si>
  <si>
    <t>941941842R00</t>
  </si>
  <si>
    <t>Demontáž lešení leh.řad.s podlahami,š.1,2 m,H 30 m</t>
  </si>
  <si>
    <t>96</t>
  </si>
  <si>
    <t>Bourání konstrukcí</t>
  </si>
  <si>
    <t>11</t>
  </si>
  <si>
    <t>961043111R00</t>
  </si>
  <si>
    <t>Bourání základů z betonu proloženého kamenem</t>
  </si>
  <si>
    <t>96_</t>
  </si>
  <si>
    <t>V položce není kalkulována manipulace se sutí, která se oceňuje samostatně položkami souboru 979.</t>
  </si>
  <si>
    <t>12</t>
  </si>
  <si>
    <t>961044111R00</t>
  </si>
  <si>
    <t>Bourání základů z betonu prostého</t>
  </si>
  <si>
    <t>13</t>
  </si>
  <si>
    <t>Bourání základů z betonu prostého - komín</t>
  </si>
  <si>
    <t>97</t>
  </si>
  <si>
    <t>Prorážení otvorů a ostatní bourací práce</t>
  </si>
  <si>
    <t>14</t>
  </si>
  <si>
    <t>979096205R00</t>
  </si>
  <si>
    <t>Plnění mobilní drticí jednotky stavební sutí - základy</t>
  </si>
  <si>
    <t>t</t>
  </si>
  <si>
    <t>97_</t>
  </si>
  <si>
    <t>Položka je určena pro nakládání stavení suti do drticí jednotky s vodorovným přemístěním do 20 m.</t>
  </si>
  <si>
    <t>15</t>
  </si>
  <si>
    <t>Plnění mobilní drticí jednotky stavební sutí - zdivo</t>
  </si>
  <si>
    <t>16</t>
  </si>
  <si>
    <t>979096211R00</t>
  </si>
  <si>
    <t>Drcení stavební suti mobilní drticí jednotkou</t>
  </si>
  <si>
    <t>Položka obsahuje provoz drticí jednotky a její dopravu do 50 km a zpět.</t>
  </si>
  <si>
    <t>979011331R00</t>
  </si>
  <si>
    <t>Pronájem shozu  (za metr) - 35 dnů x průměrně 20 m</t>
  </si>
  <si>
    <t>98</t>
  </si>
  <si>
    <t>Demolice</t>
  </si>
  <si>
    <t>981011112R00</t>
  </si>
  <si>
    <t>Demolice budov rozebráním, dřevěné ostatní</t>
  </si>
  <si>
    <t>98_</t>
  </si>
  <si>
    <t>Položka je určena pro demolice budov výšky do 35 m, dřevěných ostatních oboustranně obitých, případně omítnutých. Množství jednotek se určuje v m3 obestavěného prostoru ve smyslu ČSN 73 4055.</t>
  </si>
  <si>
    <t>981014314R00</t>
  </si>
  <si>
    <t>Demolice budov mechanizací, zdivo, konstr. do 25 %</t>
  </si>
  <si>
    <t>Položka je určena pro demolice budov s použitím těžké mechanizace, výšky do 35 m, z cihel, kamene, smíšeného a hrázděného zdiva a z tvárnic na MV, MVC. Množství jednotek se určuje v m3 obestavěného prostoru ve smyslu ČSN 73 4055.</t>
  </si>
  <si>
    <t>981331112R00</t>
  </si>
  <si>
    <t>Demolice komínů z cihel.zdiva jiným způsobem</t>
  </si>
  <si>
    <t>S</t>
  </si>
  <si>
    <t>Přesuny sutí</t>
  </si>
  <si>
    <t>979011111R00</t>
  </si>
  <si>
    <t>Svislá doprava suti a vybour. hmot za 2.NP a 1.PP</t>
  </si>
  <si>
    <t>S_</t>
  </si>
  <si>
    <t>Položka je určena pro dopravu suti a vybouraných hmot za prvé podlaží nad nebo pod základním podlažím. Svislá doprava suti ze základního podlaží se neoceňuje. Základním podlažím je zpravidla přízemí.</t>
  </si>
  <si>
    <t>979081111RT3</t>
  </si>
  <si>
    <t>Odvoz suti a vybour. hmot na skládku do 1 km</t>
  </si>
  <si>
    <t>979081121RT3</t>
  </si>
  <si>
    <t>Příplatek k odvozu za každý další 1 km - 6 km</t>
  </si>
  <si>
    <t>979086112R00</t>
  </si>
  <si>
    <t>Nakládání nebo překládání suti a vybouraných hmot</t>
  </si>
  <si>
    <t>979990107R00</t>
  </si>
  <si>
    <t>Poplatek za skládku suti - směs betonu,cihel,dřeva</t>
  </si>
  <si>
    <t>979990161R00</t>
  </si>
  <si>
    <t>Poplatek za skládku suti - dřevo</t>
  </si>
  <si>
    <t>979990162R00</t>
  </si>
  <si>
    <t>Poplatek za skládku suti - dřevo+sklo</t>
  </si>
  <si>
    <t>Okna, dveře atd.</t>
  </si>
  <si>
    <t>979990121R00</t>
  </si>
  <si>
    <t>Poplatek za skládku suti - asfaltové pásy</t>
  </si>
  <si>
    <t>979011311RT1</t>
  </si>
  <si>
    <t>Svislá doprava suti a vybouraných hmot shozem</t>
  </si>
  <si>
    <t xml:space="preserve">Ruční přemístění suti z dopravního prostředku (kolečka) do násypky (násypka nad úrovní dopravního prostředku). </t>
  </si>
  <si>
    <t>979951111R00</t>
  </si>
  <si>
    <t>Výkup kovů - železný šrot tl. do 4 mm</t>
  </si>
  <si>
    <t>https://www.druhotnesuroviny.c</t>
  </si>
  <si>
    <t>979951112R00</t>
  </si>
  <si>
    <t>Výkup kovů - železný šrot tl. nad 4 mm</t>
  </si>
  <si>
    <t>VORN</t>
  </si>
  <si>
    <t>Vedlejší a ostatní rozpočtové náklady</t>
  </si>
  <si>
    <t>02VRN</t>
  </si>
  <si>
    <t>Příprava staveniště</t>
  </si>
  <si>
    <t>020001VRN</t>
  </si>
  <si>
    <t>Příprava staveniště - vyklizení staveniště</t>
  </si>
  <si>
    <t>Soubor</t>
  </si>
  <si>
    <t>99</t>
  </si>
  <si>
    <t>02VRN_</t>
  </si>
  <si>
    <t>Â _</t>
  </si>
  <si>
    <t>021002VRN</t>
  </si>
  <si>
    <t>Zabezpečovací práce - zajištění konstrukcí</t>
  </si>
  <si>
    <t>03VRN</t>
  </si>
  <si>
    <t>Zařízení staveniště</t>
  </si>
  <si>
    <t>032002VRN</t>
  </si>
  <si>
    <t>Vybavení staveniště</t>
  </si>
  <si>
    <t>03VRN_</t>
  </si>
  <si>
    <t>030001VRN</t>
  </si>
  <si>
    <t>033002VRN</t>
  </si>
  <si>
    <t>Připojení na energie a jejich spotřeba</t>
  </si>
  <si>
    <t>034002VRN</t>
  </si>
  <si>
    <t>Zabezpečení staveniště - provizorní oplocení - 250 bm x 3 měsíce</t>
  </si>
  <si>
    <t>039002VRN</t>
  </si>
  <si>
    <t>Odstranění zařízení staveniště</t>
  </si>
  <si>
    <t>06VRN</t>
  </si>
  <si>
    <t>Územní vlivy</t>
  </si>
  <si>
    <t>061002VRN</t>
  </si>
  <si>
    <t>Klimatické vlivy</t>
  </si>
  <si>
    <t>06VRN_</t>
  </si>
  <si>
    <t>062002VRN</t>
  </si>
  <si>
    <t>Dopravní vlivy</t>
  </si>
  <si>
    <t>07VRN</t>
  </si>
  <si>
    <t>Provozní vlivy</t>
  </si>
  <si>
    <t>075002VRN</t>
  </si>
  <si>
    <t>Ochraná pásma objektů, železnice a inženýrských sítí - zabezpečení</t>
  </si>
  <si>
    <t>07VRN_</t>
  </si>
  <si>
    <t>09VRN</t>
  </si>
  <si>
    <t>Ostatní náklady</t>
  </si>
  <si>
    <t>091002VRN</t>
  </si>
  <si>
    <t>Náklady na objekty - stavební buňka - šatna+WC - pronájem - 100 dní</t>
  </si>
  <si>
    <t>09VRN_</t>
  </si>
  <si>
    <t>Celkem:</t>
  </si>
  <si>
    <t>Poznámka:</t>
  </si>
  <si>
    <t>Krycí list slepého rozpočtu</t>
  </si>
  <si>
    <t>IČO/DIČ:</t>
  </si>
  <si>
    <t>Položek:</t>
  </si>
  <si>
    <t>Datum:</t>
  </si>
  <si>
    <t>Rozpočtové náklady v Kč</t>
  </si>
  <si>
    <t>A</t>
  </si>
  <si>
    <t>Základní rozpočtové náklady</t>
  </si>
  <si>
    <t>B</t>
  </si>
  <si>
    <t>Doplňkové náklady</t>
  </si>
  <si>
    <t>C</t>
  </si>
  <si>
    <t>Náklady na umístění stavby (NUS)</t>
  </si>
  <si>
    <t>HSV</t>
  </si>
  <si>
    <t>Dodávky</t>
  </si>
  <si>
    <t>Práce přesčas</t>
  </si>
  <si>
    <t>Bez pevné podl.</t>
  </si>
  <si>
    <t>Mimostav. doprava</t>
  </si>
  <si>
    <t>PSV</t>
  </si>
  <si>
    <t>Kulturní památka</t>
  </si>
  <si>
    <t>"M"</t>
  </si>
  <si>
    <t>Ostatní</t>
  </si>
  <si>
    <t>NUS z rozpočtu</t>
  </si>
  <si>
    <t>Ostatní materiál</t>
  </si>
  <si>
    <t>Přesun hmot a sutí</t>
  </si>
  <si>
    <t>ZRN celkem</t>
  </si>
  <si>
    <t>DN celkem</t>
  </si>
  <si>
    <t>NUS celkem</t>
  </si>
  <si>
    <t>DN celkem z obj.</t>
  </si>
  <si>
    <t>NUS celkem z obj.</t>
  </si>
  <si>
    <t>VORN celkem</t>
  </si>
  <si>
    <t>VORN celkem z obj.</t>
  </si>
  <si>
    <t>Základ 0%</t>
  </si>
  <si>
    <t>Základ 12%</t>
  </si>
  <si>
    <t>DPH 12%</t>
  </si>
  <si>
    <t>Celkem bez DPH</t>
  </si>
  <si>
    <t>Základ 21%</t>
  </si>
  <si>
    <t>DPH 21%</t>
  </si>
  <si>
    <t>Celkem včetně DPH</t>
  </si>
  <si>
    <t>Projektant</t>
  </si>
  <si>
    <t>Objednatel</t>
  </si>
  <si>
    <t>Zhotovitel</t>
  </si>
  <si>
    <t>Datum, razítko a podpis</t>
  </si>
  <si>
    <t>Vedlejší rozpočtové náklady VRN</t>
  </si>
  <si>
    <t>Doplňkové náklady DN</t>
  </si>
  <si>
    <t>Kč</t>
  </si>
  <si>
    <t>%</t>
  </si>
  <si>
    <t>Základna</t>
  </si>
  <si>
    <t>Celkem DN</t>
  </si>
  <si>
    <t>Celkem NUS</t>
  </si>
  <si>
    <t>Celkem VRN</t>
  </si>
  <si>
    <t>Vedlejší a ostatní rozpočtové náklady VORN</t>
  </si>
  <si>
    <t>Ostatní rozpočtové náklady (VORN)</t>
  </si>
  <si>
    <t>Průzkumy, geodetické a projektové práce</t>
  </si>
  <si>
    <t>Inženýrské činnosti</t>
  </si>
  <si>
    <t>Finanční náklady</t>
  </si>
  <si>
    <t>Náklady na pracovníky</t>
  </si>
  <si>
    <t>Vlastní VORN</t>
  </si>
  <si>
    <t>Celkem VORN</t>
  </si>
  <si>
    <t>Odprodej kovů - železný šrot tl. do 4 mm (předpoklad)</t>
  </si>
  <si>
    <t>Odprodej kovů - železný šrot tl. nad 4 mm (předpoklad)</t>
  </si>
  <si>
    <t>Vybudování zařízení staveniště</t>
  </si>
  <si>
    <t>Náklady na opatření kvůli ochraným pásmům objektů, železnice a inženýrských sítí</t>
  </si>
  <si>
    <t>Zabezpečovací práce - ověření a zajištění konstrukcí</t>
  </si>
  <si>
    <t>Poplatek za uložení stavebního odpadu - směs stavebního odpadu  (kód 17 09 04)</t>
  </si>
  <si>
    <t>Poplatek za uložení stavebního odpadu - asfaltové pásy s dehtem  (kód 17 03 01)</t>
  </si>
  <si>
    <t>Shoz a násypka na suť (pronájem, montáž, demontáž atd.)</t>
  </si>
  <si>
    <t>soubor</t>
  </si>
  <si>
    <t xml:space="preserve">Pronájem lešení </t>
  </si>
  <si>
    <t>Příprava staveniště - vyklizení prostoru staveniště, odstranění překážek, likvidace odpadu</t>
  </si>
  <si>
    <t xml:space="preserve">hmotnost betonu </t>
  </si>
  <si>
    <t>zdivo</t>
  </si>
  <si>
    <t>hmotnost zdiva v demolovaném objektu a komínu</t>
  </si>
  <si>
    <t>dřevo</t>
  </si>
  <si>
    <t>betonové základy (bourání viz pol. 11, 12, 13)</t>
  </si>
  <si>
    <t>z objektu  (demolice viz pol. 18, 19)</t>
  </si>
  <si>
    <t>z komínu  (demolice viz pol. 20)</t>
  </si>
  <si>
    <t>beton</t>
  </si>
  <si>
    <t>z toho pěkné dřevo rozřezat a uložit v areálu</t>
  </si>
  <si>
    <t xml:space="preserve">          zbytek odvést na skládku jako směsný odpad (kód 17 09 04)</t>
  </si>
  <si>
    <t>Poplatek za uložení stavebního odpadu - dřevo s příměsemi  (kód 17 09 04)</t>
  </si>
  <si>
    <t>ostatní</t>
  </si>
  <si>
    <t>pol. 28</t>
  </si>
  <si>
    <t>pol. 27</t>
  </si>
  <si>
    <t>pol. 26</t>
  </si>
  <si>
    <t>pol. 29</t>
  </si>
  <si>
    <t>rekapitulace předpokládaného množství suti a odpadu</t>
  </si>
  <si>
    <t>asfaltové lepenky  (kód 17 03 01)</t>
  </si>
  <si>
    <t>979 990 101R00</t>
  </si>
  <si>
    <t>Položka obsahuje provoz drticí jednotky a její dopravu na místo stavby a zpět.</t>
  </si>
  <si>
    <t xml:space="preserve">Drcení stavební suti mobilní drticí jednotkou </t>
  </si>
  <si>
    <t>Příplatek k odvozu za každý další 1 km - za další 4 km</t>
  </si>
  <si>
    <t>979087007R00</t>
  </si>
  <si>
    <t>Odvoz dřevěných konstrukcí na skládku do 5 km - 144 tun</t>
  </si>
  <si>
    <t>RTS II / 2025</t>
  </si>
  <si>
    <t>Poplatek za uložení suti - směs betonu, cihel, dřeva, skupina odpadu 170904 - beton nedrcený</t>
  </si>
  <si>
    <r>
      <t xml:space="preserve"> nedrcený </t>
    </r>
    <r>
      <rPr>
        <b/>
        <i/>
        <sz val="10"/>
        <rFont val="Arial"/>
        <family val="2"/>
        <charset val="238"/>
      </rPr>
      <t>beton</t>
    </r>
    <r>
      <rPr>
        <i/>
        <sz val="10"/>
        <rFont val="Arial"/>
        <family val="2"/>
        <charset val="238"/>
      </rPr>
      <t xml:space="preserve"> znečštěný různými příměsemi</t>
    </r>
  </si>
  <si>
    <r>
      <rPr>
        <b/>
        <i/>
        <sz val="10"/>
        <rFont val="Arial"/>
        <family val="2"/>
        <charset val="238"/>
      </rPr>
      <t>dřevo</t>
    </r>
    <r>
      <rPr>
        <i/>
        <sz val="10"/>
        <rFont val="Arial"/>
        <family val="2"/>
        <charset val="238"/>
      </rPr>
      <t xml:space="preserve"> znečištěné dalšími materiály</t>
    </r>
  </si>
  <si>
    <r>
      <rPr>
        <b/>
        <i/>
        <sz val="10"/>
        <rFont val="Arial"/>
        <family val="2"/>
        <charset val="238"/>
      </rPr>
      <t>dřevo</t>
    </r>
    <r>
      <rPr>
        <i/>
        <sz val="10"/>
        <rFont val="Arial"/>
        <family val="2"/>
        <charset val="238"/>
      </rPr>
      <t xml:space="preserve"> znečištěné dalšími materiály ( dřevo z oken, světlíků, dveří atd. )</t>
    </r>
  </si>
  <si>
    <t>pol. 30</t>
  </si>
  <si>
    <t>pol. 31</t>
  </si>
  <si>
    <r>
      <t>drcené</t>
    </r>
    <r>
      <rPr>
        <b/>
        <i/>
        <sz val="10"/>
        <rFont val="Arial"/>
        <family val="2"/>
        <charset val="238"/>
      </rPr>
      <t xml:space="preserve"> zdivo</t>
    </r>
    <r>
      <rPr>
        <i/>
        <sz val="10"/>
        <rFont val="Arial"/>
        <family val="2"/>
        <charset val="238"/>
      </rPr>
      <t xml:space="preserve"> znečištěné různými příměsemi</t>
    </r>
  </si>
  <si>
    <r>
      <t>nedrcené</t>
    </r>
    <r>
      <rPr>
        <b/>
        <i/>
        <sz val="10"/>
        <rFont val="Arial"/>
        <family val="2"/>
        <charset val="238"/>
      </rPr>
      <t xml:space="preserve"> zdivo</t>
    </r>
    <r>
      <rPr>
        <i/>
        <sz val="10"/>
        <rFont val="Arial"/>
        <family val="2"/>
        <charset val="238"/>
      </rPr>
      <t xml:space="preserve"> znečištěné různými příměsemi</t>
    </r>
  </si>
  <si>
    <t>Poplatek za uložení stavebního odpadu - zdivo nedrcené  (kód 17 09 04)</t>
  </si>
  <si>
    <t>čistý materiál rozdrtit a uložit v areálu</t>
  </si>
  <si>
    <t>znečištěný příměsemi nedrtit a odvést na skládku jako směsný odpad (kód 17 09 04)</t>
  </si>
  <si>
    <t>znečištěné zdivo z komína nedrtit a odvézt na skládku (kód 17 09 04)</t>
  </si>
  <si>
    <t>znečištěné zdivo z objektu nedrtit a odvézt na skládku (kód 17 09 04)</t>
  </si>
  <si>
    <t>zdivo k rozdrcení</t>
  </si>
  <si>
    <t>hmotnost dřeva (bez oken, světlíků a dveří) v demolovaném objektu (demolice viz pol. 18, 19)</t>
  </si>
  <si>
    <t>samostatně hmotnost dřeva se sklem - okna, světlíky, dveře (směsný odpad ) (kód 17 09 04)</t>
  </si>
  <si>
    <t>Položka je určena pro demolice budov výšky do 35 m, dřevěných ostatních oboustranně obitých, případně omítnutých. Množství jednotek se určuje v m3 obestavěného prostoru ve smyslu ČSN 73 4055. Součástí ceny je rozřezání na menší kusy.</t>
  </si>
  <si>
    <t>Provoz vybavení staveniště (stavební buňka - mobilní WC, šatna, kancelář, sklad, skládky na staveništi apod.)</t>
  </si>
  <si>
    <t>Náklady na připojení a spotřeba energie pro zařízení staveniště</t>
  </si>
  <si>
    <t>Zabezpečení staveniště (zajištění oplocení staveniště, informační cedule, dopravní značení apod.)</t>
  </si>
  <si>
    <t>zhotovitel nabídne cenu za odprodej kovů</t>
  </si>
  <si>
    <t>Odstranění zařízení staveniště, úklid, úprava a urovnání terénu</t>
  </si>
  <si>
    <t>Náklady vyvolané ztíženými podmínkami v místě stavby (klimatické vlivy, ztížená přístupnost staveniště apod.)</t>
  </si>
  <si>
    <t>Náklady vyvolané dopravními vlivy (doprava materiálů, strojů atd.)</t>
  </si>
  <si>
    <t>Náklady na opatření k zajištění BOZP, ověřování a vytýčení inženýrských sítí, doprava zaměstanců atd.</t>
  </si>
  <si>
    <t xml:space="preserve">          z tohoto rozdrceného čistý materiál uložit v areálu</t>
  </si>
  <si>
    <t xml:space="preserve">          zbytek rozdrceného, ale znečištěného, odvést na skládku 
          (směsný odpad - kód 17 09 04)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</si>
</sst>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25" x14ac:knownFonts="1">
    <font>
      <sz val="11"/>
      <name val="Calibri"/>
      <charset val="1"/>
    </font>
    <font>
      <sz val="18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i/>
      <sz val="10"/>
      <color rgb="FF000000"/>
      <name val="Arial"/>
      <family val="2"/>
      <charset val="238"/>
    </font>
    <font>
      <i/>
      <sz val="8"/>
      <color rgb="FF000000"/>
      <name val="Arial"/>
      <family val="2"/>
      <charset val="238"/>
    </font>
    <font>
      <b/>
      <sz val="18"/>
      <color rgb="FF000000"/>
      <name val="Arial"/>
      <family val="2"/>
      <charset val="238"/>
    </font>
    <font>
      <b/>
      <sz val="20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8"/>
      <name val="Calibri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sz val="10"/>
      <color rgb="FF000000"/>
      <name val="Arial"/>
      <family val="2"/>
      <charset val="238"/>
    </font>
    <font>
      <sz val="8"/>
      <name val="Arial"/>
      <family val="2"/>
      <charset val="238"/>
    </font>
    <font>
      <i/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color theme="1"/>
      <name val="Calibri"/>
      <family val="2"/>
      <charset val="238"/>
    </font>
    <font>
      <b/>
      <i/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FFFF00"/>
        <bgColor indexed="64"/>
      </patternFill>
    </fill>
  </fills>
  <borders count="82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3">
    <xf numFmtId="0" fontId="0" fillId="0" borderId="0" xfId="0"/>
    <xf numFmtId="4" fontId="2" fillId="2" borderId="0" xfId="0" applyNumberFormat="1" applyFont="1" applyFill="1" applyAlignment="1">
      <alignment horizontal="right" vertical="center"/>
    </xf>
    <xf numFmtId="0" fontId="3" fillId="0" borderId="5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2" fillId="0" borderId="10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3" fillId="0" borderId="19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3" fillId="2" borderId="28" xfId="0" applyFont="1" applyFill="1" applyBorder="1" applyAlignment="1">
      <alignment horizontal="left" vertical="center"/>
    </xf>
    <xf numFmtId="0" fontId="2" fillId="2" borderId="29" xfId="0" applyFont="1" applyFill="1" applyBorder="1" applyAlignment="1">
      <alignment horizontal="left" vertical="center"/>
    </xf>
    <xf numFmtId="0" fontId="3" fillId="2" borderId="29" xfId="0" applyFont="1" applyFill="1" applyBorder="1" applyAlignment="1">
      <alignment horizontal="left" vertical="center"/>
    </xf>
    <xf numFmtId="4" fontId="2" fillId="2" borderId="29" xfId="0" applyNumberFormat="1" applyFont="1" applyFill="1" applyBorder="1" applyAlignment="1">
      <alignment horizontal="right" vertical="center"/>
    </xf>
    <xf numFmtId="4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0" fillId="0" borderId="5" xfId="0" applyBorder="1"/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0" borderId="31" xfId="0" applyFont="1" applyBorder="1" applyAlignment="1">
      <alignment horizontal="left" vertical="center"/>
    </xf>
    <xf numFmtId="0" fontId="3" fillId="0" borderId="32" xfId="0" applyFont="1" applyBorder="1" applyAlignment="1">
      <alignment horizontal="left" vertical="center"/>
    </xf>
    <xf numFmtId="4" fontId="3" fillId="0" borderId="32" xfId="0" applyNumberFormat="1" applyFont="1" applyBorder="1" applyAlignment="1">
      <alignment horizontal="right" vertical="center"/>
    </xf>
    <xf numFmtId="4" fontId="2" fillId="0" borderId="34" xfId="0" applyNumberFormat="1" applyFont="1" applyBorder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7" fillId="2" borderId="36" xfId="0" applyFont="1" applyFill="1" applyBorder="1" applyAlignment="1">
      <alignment horizontal="center" vertical="center"/>
    </xf>
    <xf numFmtId="0" fontId="7" fillId="2" borderId="39" xfId="0" applyFont="1" applyFill="1" applyBorder="1" applyAlignment="1">
      <alignment horizontal="center" vertical="center"/>
    </xf>
    <xf numFmtId="0" fontId="9" fillId="0" borderId="40" xfId="0" applyFont="1" applyBorder="1" applyAlignment="1">
      <alignment horizontal="left" vertical="center"/>
    </xf>
    <xf numFmtId="0" fontId="10" fillId="0" borderId="41" xfId="0" applyFont="1" applyBorder="1" applyAlignment="1">
      <alignment horizontal="left" vertical="center"/>
    </xf>
    <xf numFmtId="4" fontId="10" fillId="0" borderId="41" xfId="0" applyNumberFormat="1" applyFont="1" applyBorder="1" applyAlignment="1">
      <alignment horizontal="right" vertical="center"/>
    </xf>
    <xf numFmtId="0" fontId="10" fillId="0" borderId="41" xfId="0" applyFont="1" applyBorder="1" applyAlignment="1">
      <alignment horizontal="right" vertical="center"/>
    </xf>
    <xf numFmtId="0" fontId="9" fillId="0" borderId="44" xfId="0" applyFont="1" applyBorder="1" applyAlignment="1">
      <alignment horizontal="left" vertical="center"/>
    </xf>
    <xf numFmtId="4" fontId="10" fillId="0" borderId="48" xfId="0" applyNumberFormat="1" applyFont="1" applyBorder="1" applyAlignment="1">
      <alignment horizontal="right" vertical="center"/>
    </xf>
    <xf numFmtId="0" fontId="10" fillId="0" borderId="48" xfId="0" applyFont="1" applyBorder="1" applyAlignment="1">
      <alignment horizontal="right" vertical="center"/>
    </xf>
    <xf numFmtId="4" fontId="10" fillId="0" borderId="39" xfId="0" applyNumberFormat="1" applyFont="1" applyBorder="1" applyAlignment="1">
      <alignment horizontal="right" vertical="center"/>
    </xf>
    <xf numFmtId="4" fontId="10" fillId="0" borderId="25" xfId="0" applyNumberFormat="1" applyFont="1" applyBorder="1" applyAlignment="1">
      <alignment horizontal="right" vertical="center"/>
    </xf>
    <xf numFmtId="4" fontId="9" fillId="2" borderId="38" xfId="0" applyNumberFormat="1" applyFont="1" applyFill="1" applyBorder="1" applyAlignment="1">
      <alignment horizontal="right" vertical="center"/>
    </xf>
    <xf numFmtId="4" fontId="9" fillId="2" borderId="43" xfId="0" applyNumberFormat="1" applyFont="1" applyFill="1" applyBorder="1" applyAlignment="1">
      <alignment horizontal="right" vertical="center"/>
    </xf>
    <xf numFmtId="0" fontId="5" fillId="0" borderId="29" xfId="0" applyFont="1" applyBorder="1" applyAlignment="1">
      <alignment horizontal="left" vertical="center"/>
    </xf>
    <xf numFmtId="0" fontId="2" fillId="0" borderId="64" xfId="0" applyFont="1" applyBorder="1" applyAlignment="1">
      <alignment horizontal="right" vertical="center"/>
    </xf>
    <xf numFmtId="4" fontId="3" fillId="0" borderId="41" xfId="0" applyNumberFormat="1" applyFont="1" applyBorder="1" applyAlignment="1">
      <alignment horizontal="right" vertical="center"/>
    </xf>
    <xf numFmtId="0" fontId="3" fillId="0" borderId="41" xfId="0" applyFont="1" applyBorder="1" applyAlignment="1">
      <alignment horizontal="left" vertical="center"/>
    </xf>
    <xf numFmtId="4" fontId="3" fillId="0" borderId="68" xfId="0" applyNumberFormat="1" applyFont="1" applyBorder="1" applyAlignment="1">
      <alignment horizontal="right" vertical="center"/>
    </xf>
    <xf numFmtId="0" fontId="3" fillId="0" borderId="68" xfId="0" applyFont="1" applyBorder="1" applyAlignment="1">
      <alignment horizontal="left" vertical="center"/>
    </xf>
    <xf numFmtId="0" fontId="2" fillId="0" borderId="72" xfId="0" applyFont="1" applyBorder="1" applyAlignment="1">
      <alignment horizontal="left" vertical="center"/>
    </xf>
    <xf numFmtId="0" fontId="2" fillId="0" borderId="72" xfId="0" applyFont="1" applyBorder="1" applyAlignment="1">
      <alignment horizontal="right" vertical="center"/>
    </xf>
    <xf numFmtId="4" fontId="2" fillId="0" borderId="72" xfId="0" applyNumberFormat="1" applyFont="1" applyBorder="1" applyAlignment="1">
      <alignment horizontal="right" vertical="center"/>
    </xf>
    <xf numFmtId="4" fontId="3" fillId="3" borderId="0" xfId="0" applyNumberFormat="1" applyFont="1" applyFill="1" applyAlignment="1">
      <alignment horizontal="right" vertical="center"/>
    </xf>
    <xf numFmtId="0" fontId="11" fillId="0" borderId="18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2" borderId="30" xfId="0" applyFont="1" applyFill="1" applyBorder="1" applyAlignment="1">
      <alignment horizontal="right" vertical="center"/>
    </xf>
    <xf numFmtId="0" fontId="12" fillId="0" borderId="6" xfId="0" applyFont="1" applyBorder="1" applyAlignment="1">
      <alignment horizontal="right" vertical="center"/>
    </xf>
    <xf numFmtId="0" fontId="11" fillId="2" borderId="6" xfId="0" applyFont="1" applyFill="1" applyBorder="1" applyAlignment="1">
      <alignment horizontal="right" vertical="center"/>
    </xf>
    <xf numFmtId="0" fontId="12" fillId="0" borderId="33" xfId="0" applyFont="1" applyBorder="1" applyAlignment="1">
      <alignment horizontal="right" vertical="center"/>
    </xf>
    <xf numFmtId="0" fontId="13" fillId="0" borderId="0" xfId="0" applyFont="1"/>
    <xf numFmtId="0" fontId="3" fillId="0" borderId="65" xfId="0" applyFont="1" applyBorder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4" fontId="15" fillId="0" borderId="0" xfId="0" applyNumberFormat="1" applyFont="1" applyAlignment="1">
      <alignment horizontal="right" vertical="center"/>
    </xf>
    <xf numFmtId="4" fontId="15" fillId="3" borderId="0" xfId="0" applyNumberFormat="1" applyFont="1" applyFill="1" applyAlignment="1">
      <alignment horizontal="right" vertical="center"/>
    </xf>
    <xf numFmtId="0" fontId="15" fillId="2" borderId="0" xfId="0" applyFont="1" applyFill="1" applyAlignment="1">
      <alignment horizontal="left" vertical="center"/>
    </xf>
    <xf numFmtId="0" fontId="15" fillId="0" borderId="32" xfId="0" applyFont="1" applyBorder="1" applyAlignment="1">
      <alignment horizontal="left" vertical="center"/>
    </xf>
    <xf numFmtId="4" fontId="15" fillId="0" borderId="32" xfId="0" applyNumberFormat="1" applyFont="1" applyBorder="1" applyAlignment="1">
      <alignment horizontal="right" vertical="center"/>
    </xf>
    <xf numFmtId="4" fontId="15" fillId="3" borderId="32" xfId="0" applyNumberFormat="1" applyFont="1" applyFill="1" applyBorder="1" applyAlignment="1">
      <alignment horizontal="right" vertical="center"/>
    </xf>
    <xf numFmtId="0" fontId="17" fillId="0" borderId="0" xfId="0" applyFont="1"/>
    <xf numFmtId="0" fontId="19" fillId="0" borderId="6" xfId="0" applyFont="1" applyBorder="1" applyAlignment="1">
      <alignment horizontal="right" vertical="center"/>
    </xf>
    <xf numFmtId="4" fontId="0" fillId="0" borderId="0" xfId="0" applyNumberFormat="1"/>
    <xf numFmtId="0" fontId="18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0" fontId="22" fillId="0" borderId="74" xfId="0" applyFont="1" applyBorder="1" applyAlignment="1">
      <alignment horizontal="left" vertical="center" wrapText="1"/>
    </xf>
    <xf numFmtId="0" fontId="21" fillId="0" borderId="75" xfId="0" applyFont="1" applyBorder="1" applyAlignment="1">
      <alignment horizontal="left" vertical="center"/>
    </xf>
    <xf numFmtId="0" fontId="23" fillId="0" borderId="75" xfId="0" applyFont="1" applyBorder="1"/>
    <xf numFmtId="0" fontId="23" fillId="0" borderId="76" xfId="0" applyFont="1" applyBorder="1"/>
    <xf numFmtId="0" fontId="21" fillId="0" borderId="77" xfId="0" applyFont="1" applyBorder="1" applyAlignment="1">
      <alignment horizontal="left" vertical="center" wrapText="1"/>
    </xf>
    <xf numFmtId="0" fontId="21" fillId="0" borderId="66" xfId="0" applyFont="1" applyBorder="1" applyAlignment="1">
      <alignment horizontal="left" vertical="center"/>
    </xf>
    <xf numFmtId="0" fontId="23" fillId="0" borderId="66" xfId="0" applyFont="1" applyBorder="1"/>
    <xf numFmtId="4" fontId="23" fillId="0" borderId="78" xfId="0" applyNumberFormat="1" applyFont="1" applyBorder="1"/>
    <xf numFmtId="0" fontId="23" fillId="0" borderId="78" xfId="0" applyFont="1" applyBorder="1"/>
    <xf numFmtId="0" fontId="21" fillId="0" borderId="79" xfId="0" applyFont="1" applyBorder="1" applyAlignment="1">
      <alignment horizontal="left" vertical="center" wrapText="1"/>
    </xf>
    <xf numFmtId="0" fontId="21" fillId="0" borderId="80" xfId="0" applyFont="1" applyBorder="1" applyAlignment="1">
      <alignment horizontal="left" vertical="center"/>
    </xf>
    <xf numFmtId="0" fontId="23" fillId="0" borderId="80" xfId="0" applyFont="1" applyBorder="1"/>
    <xf numFmtId="0" fontId="23" fillId="0" borderId="81" xfId="0" applyFont="1" applyBorder="1"/>
    <xf numFmtId="0" fontId="23" fillId="0" borderId="0" xfId="0" applyFont="1"/>
    <xf numFmtId="4" fontId="23" fillId="0" borderId="0" xfId="0" applyNumberFormat="1" applyFont="1"/>
    <xf numFmtId="164" fontId="0" fillId="0" borderId="0" xfId="0" applyNumberFormat="1"/>
    <xf numFmtId="0" fontId="21" fillId="0" borderId="5" xfId="0" applyFont="1" applyBorder="1" applyAlignment="1">
      <alignment horizontal="left" vertical="center"/>
    </xf>
    <xf numFmtId="0" fontId="15" fillId="0" borderId="68" xfId="0" applyFont="1" applyBorder="1" applyAlignment="1">
      <alignment horizontal="right" vertical="center"/>
    </xf>
    <xf numFmtId="0" fontId="15" fillId="0" borderId="5" xfId="0" applyFont="1" applyBorder="1" applyAlignment="1">
      <alignment horizontal="left" vertical="center"/>
    </xf>
    <xf numFmtId="0" fontId="21" fillId="0" borderId="0" xfId="0" applyFont="1" applyAlignment="1">
      <alignment horizontal="left" vertical="center" wrapText="1"/>
    </xf>
    <xf numFmtId="0" fontId="21" fillId="0" borderId="77" xfId="0" applyFont="1" applyBorder="1" applyAlignment="1">
      <alignment horizontal="left" vertical="center" wrapText="1"/>
    </xf>
    <xf numFmtId="0" fontId="21" fillId="0" borderId="66" xfId="0" applyFont="1" applyBorder="1" applyAlignment="1">
      <alignment horizontal="left" vertical="center" wrapText="1"/>
    </xf>
    <xf numFmtId="0" fontId="21" fillId="0" borderId="66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4" fillId="0" borderId="68" xfId="0" applyFont="1" applyBorder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vertical="center"/>
    </xf>
    <xf numFmtId="0" fontId="2" fillId="0" borderId="21" xfId="0" applyFont="1" applyBorder="1" applyAlignment="1">
      <alignment horizontal="left" vertical="center"/>
    </xf>
    <xf numFmtId="0" fontId="2" fillId="0" borderId="22" xfId="0" applyFont="1" applyBorder="1" applyAlignment="1">
      <alignment horizontal="left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2" borderId="29" xfId="0" applyFont="1" applyFill="1" applyBorder="1" applyAlignment="1">
      <alignment horizontal="left" vertical="center" wrapText="1"/>
    </xf>
    <xf numFmtId="0" fontId="2" fillId="2" borderId="29" xfId="0" applyFont="1" applyFill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0" fontId="20" fillId="0" borderId="6" xfId="0" applyFont="1" applyBorder="1" applyAlignment="1">
      <alignment horizontal="left" vertical="center"/>
    </xf>
    <xf numFmtId="0" fontId="22" fillId="2" borderId="0" xfId="0" applyFont="1" applyFill="1" applyAlignment="1">
      <alignment horizontal="left" vertical="center" wrapText="1"/>
    </xf>
    <xf numFmtId="0" fontId="22" fillId="2" borderId="0" xfId="0" applyFont="1" applyFill="1" applyAlignment="1">
      <alignment horizontal="left" vertical="center"/>
    </xf>
    <xf numFmtId="0" fontId="20" fillId="0" borderId="66" xfId="0" applyFont="1" applyBorder="1" applyAlignment="1">
      <alignment horizontal="left" vertical="center" wrapText="1"/>
    </xf>
    <xf numFmtId="0" fontId="20" fillId="0" borderId="68" xfId="0" applyFont="1" applyBorder="1" applyAlignment="1">
      <alignment horizontal="left" vertical="center" wrapText="1"/>
    </xf>
    <xf numFmtId="0" fontId="22" fillId="0" borderId="74" xfId="0" applyFont="1" applyBorder="1" applyAlignment="1">
      <alignment horizontal="left" vertical="center" wrapText="1"/>
    </xf>
    <xf numFmtId="0" fontId="22" fillId="0" borderId="75" xfId="0" applyFont="1" applyBorder="1" applyAlignment="1">
      <alignment horizontal="left" vertical="center"/>
    </xf>
    <xf numFmtId="0" fontId="16" fillId="0" borderId="66" xfId="0" applyFont="1" applyBorder="1" applyAlignment="1">
      <alignment horizontal="left" vertical="center" wrapText="1"/>
    </xf>
    <xf numFmtId="0" fontId="16" fillId="0" borderId="66" xfId="0" applyFont="1" applyBorder="1" applyAlignment="1">
      <alignment horizontal="left" vertical="center"/>
    </xf>
    <xf numFmtId="0" fontId="21" fillId="0" borderId="79" xfId="0" applyFont="1" applyBorder="1" applyAlignment="1">
      <alignment horizontal="left" vertical="center" wrapText="1"/>
    </xf>
    <xf numFmtId="0" fontId="21" fillId="0" borderId="80" xfId="0" applyFont="1" applyBorder="1" applyAlignment="1">
      <alignment horizontal="left" vertical="center"/>
    </xf>
    <xf numFmtId="0" fontId="22" fillId="0" borderId="66" xfId="0" applyFont="1" applyBorder="1" applyAlignment="1">
      <alignment horizontal="left" vertical="center" wrapText="1"/>
    </xf>
    <xf numFmtId="0" fontId="22" fillId="0" borderId="66" xfId="0" applyFont="1" applyBorder="1" applyAlignment="1">
      <alignment horizontal="left" vertical="center"/>
    </xf>
    <xf numFmtId="0" fontId="2" fillId="0" borderId="34" xfId="0" applyFont="1" applyBorder="1" applyAlignment="1">
      <alignment horizontal="left" vertical="center"/>
    </xf>
    <xf numFmtId="0" fontId="21" fillId="0" borderId="32" xfId="0" applyFont="1" applyBorder="1" applyAlignment="1">
      <alignment horizontal="left" vertical="center" wrapText="1"/>
    </xf>
    <xf numFmtId="0" fontId="21" fillId="0" borderId="32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left" vertical="center"/>
    </xf>
    <xf numFmtId="0" fontId="3" fillId="0" borderId="32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 wrapText="1"/>
    </xf>
    <xf numFmtId="0" fontId="3" fillId="0" borderId="33" xfId="0" applyFont="1" applyBorder="1" applyAlignment="1">
      <alignment horizontal="left" vertical="center"/>
    </xf>
    <xf numFmtId="0" fontId="6" fillId="0" borderId="35" xfId="0" applyFont="1" applyBorder="1" applyAlignment="1">
      <alignment horizontal="center" vertical="center"/>
    </xf>
    <xf numFmtId="0" fontId="8" fillId="0" borderId="37" xfId="0" applyFont="1" applyBorder="1" applyAlignment="1">
      <alignment horizontal="left" vertical="center"/>
    </xf>
    <xf numFmtId="0" fontId="8" fillId="0" borderId="38" xfId="0" applyFont="1" applyBorder="1" applyAlignment="1">
      <alignment horizontal="left" vertical="center"/>
    </xf>
    <xf numFmtId="0" fontId="3" fillId="0" borderId="31" xfId="0" applyFont="1" applyBorder="1" applyAlignment="1">
      <alignment horizontal="left" vertical="center"/>
    </xf>
    <xf numFmtId="0" fontId="9" fillId="0" borderId="45" xfId="0" applyFont="1" applyBorder="1" applyAlignment="1">
      <alignment horizontal="left" vertical="center"/>
    </xf>
    <xf numFmtId="0" fontId="9" fillId="0" borderId="43" xfId="0" applyFont="1" applyBorder="1" applyAlignment="1">
      <alignment horizontal="left" vertical="center"/>
    </xf>
    <xf numFmtId="0" fontId="9" fillId="0" borderId="46" xfId="0" applyFont="1" applyBorder="1" applyAlignment="1">
      <alignment horizontal="left" vertical="center"/>
    </xf>
    <xf numFmtId="0" fontId="9" fillId="0" borderId="47" xfId="0" applyFont="1" applyBorder="1" applyAlignment="1">
      <alignment horizontal="left" vertical="center"/>
    </xf>
    <xf numFmtId="0" fontId="9" fillId="0" borderId="50" xfId="0" applyFont="1" applyBorder="1" applyAlignment="1">
      <alignment horizontal="left" vertical="center"/>
    </xf>
    <xf numFmtId="0" fontId="9" fillId="0" borderId="38" xfId="0" applyFont="1" applyBorder="1" applyAlignment="1">
      <alignment horizontal="left" vertical="center"/>
    </xf>
    <xf numFmtId="0" fontId="10" fillId="0" borderId="42" xfId="0" applyFont="1" applyBorder="1" applyAlignment="1">
      <alignment horizontal="left" vertical="center"/>
    </xf>
    <xf numFmtId="0" fontId="10" fillId="0" borderId="43" xfId="0" applyFont="1" applyBorder="1" applyAlignment="1">
      <alignment horizontal="left" vertical="center"/>
    </xf>
    <xf numFmtId="0" fontId="10" fillId="0" borderId="49" xfId="0" applyFont="1" applyBorder="1" applyAlignment="1">
      <alignment horizontal="left" vertical="center"/>
    </xf>
    <xf numFmtId="0" fontId="10" fillId="0" borderId="47" xfId="0" applyFont="1" applyBorder="1" applyAlignment="1">
      <alignment horizontal="left" vertical="center"/>
    </xf>
    <xf numFmtId="0" fontId="9" fillId="0" borderId="37" xfId="0" applyFont="1" applyBorder="1" applyAlignment="1">
      <alignment horizontal="left" vertical="center"/>
    </xf>
    <xf numFmtId="0" fontId="9" fillId="0" borderId="42" xfId="0" applyFont="1" applyBorder="1" applyAlignment="1">
      <alignment horizontal="left" vertical="center"/>
    </xf>
    <xf numFmtId="0" fontId="9" fillId="2" borderId="50" xfId="0" applyFont="1" applyFill="1" applyBorder="1" applyAlignment="1">
      <alignment horizontal="left" vertical="center"/>
    </xf>
    <xf numFmtId="0" fontId="9" fillId="2" borderId="51" xfId="0" applyFont="1" applyFill="1" applyBorder="1" applyAlignment="1">
      <alignment horizontal="left" vertical="center"/>
    </xf>
    <xf numFmtId="0" fontId="9" fillId="2" borderId="45" xfId="0" applyFont="1" applyFill="1" applyBorder="1" applyAlignment="1">
      <alignment horizontal="left" vertical="center"/>
    </xf>
    <xf numFmtId="0" fontId="9" fillId="2" borderId="52" xfId="0" applyFont="1" applyFill="1" applyBorder="1" applyAlignment="1">
      <alignment horizontal="left" vertical="center"/>
    </xf>
    <xf numFmtId="0" fontId="9" fillId="2" borderId="37" xfId="0" applyFont="1" applyFill="1" applyBorder="1" applyAlignment="1">
      <alignment horizontal="left" vertical="center"/>
    </xf>
    <xf numFmtId="0" fontId="9" fillId="2" borderId="42" xfId="0" applyFont="1" applyFill="1" applyBorder="1" applyAlignment="1">
      <alignment horizontal="left" vertical="center"/>
    </xf>
    <xf numFmtId="0" fontId="10" fillId="0" borderId="56" xfId="0" applyFont="1" applyBorder="1" applyAlignment="1">
      <alignment horizontal="left" vertical="center"/>
    </xf>
    <xf numFmtId="0" fontId="10" fillId="0" borderId="54" xfId="0" applyFont="1" applyBorder="1" applyAlignment="1">
      <alignment horizontal="left" vertical="center"/>
    </xf>
    <xf numFmtId="0" fontId="10" fillId="0" borderId="55" xfId="0" applyFont="1" applyBorder="1" applyAlignment="1">
      <alignment horizontal="left" vertical="center"/>
    </xf>
    <xf numFmtId="0" fontId="10" fillId="0" borderId="59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58" xfId="0" applyFont="1" applyBorder="1" applyAlignment="1">
      <alignment horizontal="left" vertical="center"/>
    </xf>
    <xf numFmtId="0" fontId="10" fillId="0" borderId="63" xfId="0" applyFont="1" applyBorder="1" applyAlignment="1">
      <alignment horizontal="left" vertical="center"/>
    </xf>
    <xf numFmtId="0" fontId="10" fillId="0" borderId="61" xfId="0" applyFont="1" applyBorder="1" applyAlignment="1">
      <alignment horizontal="left" vertical="center"/>
    </xf>
    <xf numFmtId="0" fontId="10" fillId="0" borderId="62" xfId="0" applyFont="1" applyBorder="1" applyAlignment="1">
      <alignment horizontal="left" vertical="center"/>
    </xf>
    <xf numFmtId="0" fontId="10" fillId="0" borderId="53" xfId="0" applyFont="1" applyBorder="1" applyAlignment="1">
      <alignment horizontal="left" vertical="center"/>
    </xf>
    <xf numFmtId="0" fontId="10" fillId="0" borderId="57" xfId="0" applyFont="1" applyBorder="1" applyAlignment="1">
      <alignment horizontal="left" vertical="center"/>
    </xf>
    <xf numFmtId="0" fontId="10" fillId="0" borderId="60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3" fillId="0" borderId="45" xfId="0" applyFont="1" applyBorder="1" applyAlignment="1">
      <alignment horizontal="left" vertical="center"/>
    </xf>
    <xf numFmtId="0" fontId="3" fillId="0" borderId="52" xfId="0" applyFont="1" applyBorder="1" applyAlignment="1">
      <alignment horizontal="left" vertical="center"/>
    </xf>
    <xf numFmtId="0" fontId="3" fillId="0" borderId="43" xfId="0" applyFont="1" applyBorder="1" applyAlignment="1">
      <alignment horizontal="left" vertical="center"/>
    </xf>
    <xf numFmtId="0" fontId="3" fillId="0" borderId="65" xfId="0" applyFont="1" applyBorder="1" applyAlignment="1">
      <alignment horizontal="left" vertical="center"/>
    </xf>
    <xf numFmtId="0" fontId="3" fillId="0" borderId="66" xfId="0" applyFont="1" applyBorder="1" applyAlignment="1">
      <alignment horizontal="left" vertical="center"/>
    </xf>
    <xf numFmtId="0" fontId="3" fillId="0" borderId="67" xfId="0" applyFont="1" applyBorder="1" applyAlignment="1">
      <alignment horizontal="left" vertical="center"/>
    </xf>
    <xf numFmtId="0" fontId="2" fillId="0" borderId="69" xfId="0" applyFont="1" applyBorder="1" applyAlignment="1">
      <alignment horizontal="left" vertical="center"/>
    </xf>
    <xf numFmtId="0" fontId="2" fillId="0" borderId="70" xfId="0" applyFont="1" applyBorder="1" applyAlignment="1">
      <alignment horizontal="left" vertical="center"/>
    </xf>
    <xf numFmtId="0" fontId="2" fillId="0" borderId="71" xfId="0" applyFont="1" applyBorder="1" applyAlignment="1">
      <alignment horizontal="left" vertical="center"/>
    </xf>
    <xf numFmtId="0" fontId="9" fillId="0" borderId="69" xfId="0" applyFont="1" applyBorder="1" applyAlignment="1">
      <alignment horizontal="left" vertical="center"/>
    </xf>
    <xf numFmtId="0" fontId="9" fillId="0" borderId="70" xfId="0" applyFont="1" applyBorder="1" applyAlignment="1">
      <alignment horizontal="left" vertical="center"/>
    </xf>
    <xf numFmtId="0" fontId="9" fillId="0" borderId="71" xfId="0" applyFont="1" applyBorder="1" applyAlignment="1">
      <alignment horizontal="left" vertical="center"/>
    </xf>
    <xf numFmtId="4" fontId="9" fillId="0" borderId="73" xfId="0" applyNumberFormat="1" applyFont="1" applyBorder="1" applyAlignment="1">
      <alignment horizontal="right" vertical="center"/>
    </xf>
    <xf numFmtId="0" fontId="9" fillId="0" borderId="70" xfId="0" applyFont="1" applyBorder="1" applyAlignment="1">
      <alignment horizontal="right" vertical="center"/>
    </xf>
    <xf numFmtId="0" fontId="9" fillId="0" borderId="71" xfId="0" applyFont="1" applyBorder="1" applyAlignment="1">
      <alignment horizontal="right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66750" cy="666750"/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66750" cy="66675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Z142"/>
  <sheetViews>
    <sheetView tabSelected="1" view="pageBreakPreview" zoomScaleNormal="100" zoomScaleSheetLayoutView="100" workbookViewId="0">
      <pane ySplit="11" topLeftCell="A104" activePane="bottomLeft" state="frozen"/>
      <selection pane="bottomLeft" activeCell="D123" sqref="D123"/>
    </sheetView>
  </sheetViews>
  <sheetFormatPr defaultColWidth="12.109375" defaultRowHeight="15" customHeight="1" x14ac:dyDescent="0.3"/>
  <cols>
    <col min="1" max="1" width="4" customWidth="1"/>
    <col min="2" max="2" width="17.88671875" customWidth="1"/>
    <col min="3" max="3" width="42.88671875" customWidth="1"/>
    <col min="4" max="4" width="35.6640625" customWidth="1"/>
    <col min="5" max="5" width="8.44140625" customWidth="1"/>
    <col min="6" max="6" width="12.88671875" customWidth="1"/>
    <col min="7" max="7" width="12" customWidth="1"/>
    <col min="8" max="10" width="15.6640625" customWidth="1"/>
    <col min="11" max="11" width="3.5546875" style="63" customWidth="1"/>
    <col min="25" max="75" width="12.109375" hidden="1"/>
    <col min="76" max="76" width="78.5546875" hidden="1" customWidth="1"/>
    <col min="77" max="78" width="12.109375" hidden="1"/>
  </cols>
  <sheetData>
    <row r="1" spans="1:76" ht="54.75" customHeight="1" x14ac:dyDescent="0.3">
      <c r="A1" s="123" t="s">
        <v>0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AS1" s="1">
        <f>SUM(AJ1:AJ2)</f>
        <v>0</v>
      </c>
      <c r="AT1" s="1">
        <f>SUM(AK1:AK2)</f>
        <v>0</v>
      </c>
      <c r="AU1" s="1">
        <f>SUM(AL1:AL2)</f>
        <v>0</v>
      </c>
    </row>
    <row r="2" spans="1:76" ht="14.4" x14ac:dyDescent="0.3">
      <c r="A2" s="124" t="s">
        <v>1</v>
      </c>
      <c r="B2" s="125"/>
      <c r="C2" s="130" t="s">
        <v>2</v>
      </c>
      <c r="D2" s="131"/>
      <c r="E2" s="125" t="s">
        <v>3</v>
      </c>
      <c r="F2" s="125"/>
      <c r="G2" s="125"/>
      <c r="H2" s="129" t="s">
        <v>4</v>
      </c>
      <c r="I2" s="129" t="s">
        <v>5</v>
      </c>
      <c r="J2" s="125"/>
      <c r="K2" s="133"/>
    </row>
    <row r="3" spans="1:76" ht="14.4" x14ac:dyDescent="0.3">
      <c r="A3" s="126"/>
      <c r="B3" s="103"/>
      <c r="C3" s="132"/>
      <c r="D3" s="132"/>
      <c r="E3" s="103"/>
      <c r="F3" s="103"/>
      <c r="G3" s="103"/>
      <c r="H3" s="103"/>
      <c r="I3" s="103"/>
      <c r="J3" s="103"/>
      <c r="K3" s="134"/>
    </row>
    <row r="4" spans="1:76" ht="14.4" x14ac:dyDescent="0.3">
      <c r="A4" s="127" t="s">
        <v>6</v>
      </c>
      <c r="B4" s="103"/>
      <c r="C4" s="105" t="s">
        <v>7</v>
      </c>
      <c r="D4" s="103"/>
      <c r="E4" s="103" t="s">
        <v>8</v>
      </c>
      <c r="F4" s="103"/>
      <c r="G4" s="103"/>
      <c r="H4" s="105" t="s">
        <v>9</v>
      </c>
      <c r="I4" s="105" t="s">
        <v>10</v>
      </c>
      <c r="J4" s="103"/>
      <c r="K4" s="134"/>
    </row>
    <row r="5" spans="1:76" ht="14.4" x14ac:dyDescent="0.3">
      <c r="A5" s="126"/>
      <c r="B5" s="103"/>
      <c r="C5" s="103"/>
      <c r="D5" s="103"/>
      <c r="E5" s="103"/>
      <c r="F5" s="103"/>
      <c r="G5" s="103"/>
      <c r="H5" s="103"/>
      <c r="I5" s="103"/>
      <c r="J5" s="103"/>
      <c r="K5" s="134"/>
    </row>
    <row r="6" spans="1:76" ht="14.4" x14ac:dyDescent="0.3">
      <c r="A6" s="127" t="s">
        <v>11</v>
      </c>
      <c r="B6" s="103"/>
      <c r="C6" s="105" t="s">
        <v>12</v>
      </c>
      <c r="D6" s="103"/>
      <c r="E6" s="103" t="s">
        <v>13</v>
      </c>
      <c r="F6" s="103"/>
      <c r="G6" s="103"/>
      <c r="H6" s="105" t="s">
        <v>14</v>
      </c>
      <c r="I6" s="103" t="s">
        <v>15</v>
      </c>
      <c r="J6" s="103"/>
      <c r="K6" s="134"/>
    </row>
    <row r="7" spans="1:76" ht="14.4" x14ac:dyDescent="0.3">
      <c r="A7" s="126"/>
      <c r="B7" s="103"/>
      <c r="C7" s="103"/>
      <c r="D7" s="103"/>
      <c r="E7" s="103"/>
      <c r="F7" s="103"/>
      <c r="G7" s="103"/>
      <c r="H7" s="103"/>
      <c r="I7" s="103"/>
      <c r="J7" s="103"/>
      <c r="K7" s="134"/>
    </row>
    <row r="8" spans="1:76" ht="14.4" x14ac:dyDescent="0.3">
      <c r="A8" s="127" t="s">
        <v>16</v>
      </c>
      <c r="B8" s="103"/>
      <c r="C8" s="105" t="s">
        <v>17</v>
      </c>
      <c r="D8" s="103"/>
      <c r="E8" s="103" t="s">
        <v>18</v>
      </c>
      <c r="F8" s="103"/>
      <c r="G8" s="103"/>
      <c r="H8" s="105" t="s">
        <v>19</v>
      </c>
      <c r="I8" s="103" t="s">
        <v>15</v>
      </c>
      <c r="J8" s="103"/>
      <c r="K8" s="134"/>
    </row>
    <row r="9" spans="1:76" ht="14.4" x14ac:dyDescent="0.3">
      <c r="A9" s="128"/>
      <c r="B9" s="104"/>
      <c r="C9" s="104"/>
      <c r="D9" s="104"/>
      <c r="E9" s="104"/>
      <c r="F9" s="104"/>
      <c r="G9" s="104"/>
      <c r="H9" s="104"/>
      <c r="I9" s="104"/>
      <c r="J9" s="104"/>
      <c r="K9" s="135"/>
    </row>
    <row r="10" spans="1:76" ht="14.4" x14ac:dyDescent="0.3">
      <c r="A10" s="5" t="s">
        <v>20</v>
      </c>
      <c r="B10" s="6" t="s">
        <v>21</v>
      </c>
      <c r="C10" s="118" t="s">
        <v>22</v>
      </c>
      <c r="D10" s="119"/>
      <c r="E10" s="6" t="s">
        <v>23</v>
      </c>
      <c r="F10" s="7" t="s">
        <v>24</v>
      </c>
      <c r="G10" s="8" t="s">
        <v>25</v>
      </c>
      <c r="H10" s="113" t="s">
        <v>26</v>
      </c>
      <c r="I10" s="114"/>
      <c r="J10" s="115"/>
      <c r="K10" s="57"/>
      <c r="BK10" s="9" t="s">
        <v>27</v>
      </c>
      <c r="BL10" s="10" t="s">
        <v>28</v>
      </c>
      <c r="BW10" s="10" t="s">
        <v>29</v>
      </c>
    </row>
    <row r="11" spans="1:76" ht="14.4" x14ac:dyDescent="0.3">
      <c r="A11" s="11" t="s">
        <v>17</v>
      </c>
      <c r="B11" s="12" t="s">
        <v>17</v>
      </c>
      <c r="C11" s="111" t="s">
        <v>30</v>
      </c>
      <c r="D11" s="112"/>
      <c r="E11" s="12" t="s">
        <v>17</v>
      </c>
      <c r="F11" s="12" t="s">
        <v>17</v>
      </c>
      <c r="G11" s="13" t="s">
        <v>31</v>
      </c>
      <c r="H11" s="14" t="s">
        <v>32</v>
      </c>
      <c r="I11" s="15" t="s">
        <v>33</v>
      </c>
      <c r="J11" s="16" t="s">
        <v>34</v>
      </c>
      <c r="K11" s="58"/>
      <c r="Z11" s="9" t="s">
        <v>35</v>
      </c>
      <c r="AA11" s="9" t="s">
        <v>36</v>
      </c>
      <c r="AB11" s="9" t="s">
        <v>37</v>
      </c>
      <c r="AC11" s="9" t="s">
        <v>38</v>
      </c>
      <c r="AD11" s="9" t="s">
        <v>39</v>
      </c>
      <c r="AE11" s="9" t="s">
        <v>40</v>
      </c>
      <c r="AF11" s="9" t="s">
        <v>41</v>
      </c>
      <c r="AG11" s="9" t="s">
        <v>42</v>
      </c>
      <c r="AH11" s="9" t="s">
        <v>43</v>
      </c>
      <c r="BH11" s="9" t="s">
        <v>44</v>
      </c>
      <c r="BI11" s="9" t="s">
        <v>45</v>
      </c>
      <c r="BJ11" s="9" t="s">
        <v>46</v>
      </c>
    </row>
    <row r="12" spans="1:76" ht="14.4" x14ac:dyDescent="0.3">
      <c r="A12" s="17" t="s">
        <v>47</v>
      </c>
      <c r="B12" s="18" t="s">
        <v>48</v>
      </c>
      <c r="C12" s="116" t="s">
        <v>49</v>
      </c>
      <c r="D12" s="117"/>
      <c r="E12" s="19" t="s">
        <v>17</v>
      </c>
      <c r="F12" s="19" t="s">
        <v>17</v>
      </c>
      <c r="G12" s="19" t="s">
        <v>17</v>
      </c>
      <c r="H12" s="20">
        <f>ROUND(SUM(H13:H15),2)</f>
        <v>0</v>
      </c>
      <c r="I12" s="20">
        <f>ROUND(SUM(I13:I15),2)</f>
        <v>0</v>
      </c>
      <c r="J12" s="20">
        <f>ROUND(SUM(J13:J15),2)</f>
        <v>0</v>
      </c>
      <c r="K12" s="59" t="s">
        <v>47</v>
      </c>
      <c r="AI12" s="9" t="s">
        <v>47</v>
      </c>
      <c r="AS12" s="1">
        <f>SUM(AJ13:AJ15)</f>
        <v>0</v>
      </c>
      <c r="AT12" s="1">
        <f>SUM(AK13:AK15)</f>
        <v>0</v>
      </c>
      <c r="AU12" s="1">
        <f>SUM(AL13:AL15)</f>
        <v>0</v>
      </c>
    </row>
    <row r="13" spans="1:76" ht="14.4" x14ac:dyDescent="0.3">
      <c r="A13" s="2" t="s">
        <v>50</v>
      </c>
      <c r="B13" s="3" t="s">
        <v>51</v>
      </c>
      <c r="C13" s="105" t="s">
        <v>52</v>
      </c>
      <c r="D13" s="103"/>
      <c r="E13" s="3" t="s">
        <v>53</v>
      </c>
      <c r="F13" s="21">
        <v>2010</v>
      </c>
      <c r="G13" s="56">
        <v>0</v>
      </c>
      <c r="H13" s="21">
        <f>ROUND(F13*AO13,2)</f>
        <v>0</v>
      </c>
      <c r="I13" s="21">
        <f>ROUND(F13*AP13,2)</f>
        <v>0</v>
      </c>
      <c r="J13" s="21">
        <f>ROUND(F13*G13,2)</f>
        <v>0</v>
      </c>
      <c r="K13" s="60"/>
      <c r="Z13" s="21">
        <f>ROUND(IF(AQ13="5",BJ13,0),2)</f>
        <v>0</v>
      </c>
      <c r="AB13" s="21">
        <f>ROUND(IF(AQ13="1",BH13,0),2)</f>
        <v>0</v>
      </c>
      <c r="AC13" s="21">
        <f>ROUND(IF(AQ13="1",BI13,0),2)</f>
        <v>0</v>
      </c>
      <c r="AD13" s="21">
        <f>ROUND(IF(AQ13="7",BH13,0),2)</f>
        <v>0</v>
      </c>
      <c r="AE13" s="21">
        <f>ROUND(IF(AQ13="7",BI13,0),2)</f>
        <v>0</v>
      </c>
      <c r="AF13" s="21">
        <f>ROUND(IF(AQ13="2",BH13,0),2)</f>
        <v>0</v>
      </c>
      <c r="AG13" s="21">
        <f>ROUND(IF(AQ13="2",BI13,0),2)</f>
        <v>0</v>
      </c>
      <c r="AH13" s="21">
        <f>ROUND(IF(AQ13="0",BJ13,0),2)</f>
        <v>0</v>
      </c>
      <c r="AI13" s="9" t="s">
        <v>47</v>
      </c>
      <c r="AJ13" s="21">
        <f>IF(AN13=0,J13,0)</f>
        <v>0</v>
      </c>
      <c r="AK13" s="21">
        <f>IF(AN13=12,J13,0)</f>
        <v>0</v>
      </c>
      <c r="AL13" s="21">
        <f>IF(AN13=21,J13,0)</f>
        <v>0</v>
      </c>
      <c r="AN13" s="21">
        <v>21</v>
      </c>
      <c r="AO13" s="21">
        <f>G13*0.531506849</f>
        <v>0</v>
      </c>
      <c r="AP13" s="21">
        <f>G13*(1-0.531506849)</f>
        <v>0</v>
      </c>
      <c r="AQ13" s="22" t="s">
        <v>50</v>
      </c>
      <c r="AV13" s="21">
        <f>ROUND(AW13+AX13,2)</f>
        <v>0</v>
      </c>
      <c r="AW13" s="21">
        <f>ROUND(F13*AO13,2)</f>
        <v>0</v>
      </c>
      <c r="AX13" s="21">
        <f>ROUND(F13*AP13,2)</f>
        <v>0</v>
      </c>
      <c r="AY13" s="22" t="s">
        <v>54</v>
      </c>
      <c r="AZ13" s="22" t="s">
        <v>55</v>
      </c>
      <c r="BA13" s="9" t="s">
        <v>56</v>
      </c>
      <c r="BC13" s="21">
        <f>AW13+AX13</f>
        <v>0</v>
      </c>
      <c r="BD13" s="21">
        <f>G13/(100-BE13)*100</f>
        <v>0</v>
      </c>
      <c r="BE13" s="21">
        <v>0</v>
      </c>
      <c r="BF13" s="21">
        <f>13</f>
        <v>13</v>
      </c>
      <c r="BH13" s="21">
        <f>F13*AO13</f>
        <v>0</v>
      </c>
      <c r="BI13" s="21">
        <f>F13*AP13</f>
        <v>0</v>
      </c>
      <c r="BJ13" s="21">
        <f>F13*G13</f>
        <v>0</v>
      </c>
      <c r="BK13" s="22" t="s">
        <v>57</v>
      </c>
      <c r="BL13" s="21">
        <v>17</v>
      </c>
      <c r="BW13" s="21">
        <v>21</v>
      </c>
      <c r="BX13" s="4" t="s">
        <v>52</v>
      </c>
    </row>
    <row r="14" spans="1:76" ht="26.4" x14ac:dyDescent="0.3">
      <c r="A14" s="23"/>
      <c r="B14" s="24" t="s">
        <v>58</v>
      </c>
      <c r="C14" s="106" t="s">
        <v>59</v>
      </c>
      <c r="D14" s="107"/>
      <c r="E14" s="107"/>
      <c r="F14" s="107"/>
      <c r="G14" s="107"/>
      <c r="H14" s="107"/>
      <c r="I14" s="107"/>
      <c r="J14" s="107"/>
      <c r="K14" s="108"/>
      <c r="BX14" s="25" t="s">
        <v>59</v>
      </c>
    </row>
    <row r="15" spans="1:76" ht="14.4" x14ac:dyDescent="0.3">
      <c r="A15" s="2" t="s">
        <v>60</v>
      </c>
      <c r="B15" s="3" t="s">
        <v>61</v>
      </c>
      <c r="C15" s="105" t="s">
        <v>62</v>
      </c>
      <c r="D15" s="103"/>
      <c r="E15" s="3" t="s">
        <v>53</v>
      </c>
      <c r="F15" s="21">
        <v>1100</v>
      </c>
      <c r="G15" s="56">
        <v>0</v>
      </c>
      <c r="H15" s="21">
        <f>ROUND(F15*AO15,2)</f>
        <v>0</v>
      </c>
      <c r="I15" s="21">
        <f>ROUND(F15*AP15,2)</f>
        <v>0</v>
      </c>
      <c r="J15" s="21">
        <f>ROUND(F15*G15,2)</f>
        <v>0</v>
      </c>
      <c r="K15" s="60"/>
      <c r="Z15" s="21">
        <f>ROUND(IF(AQ15="5",BJ15,0),2)</f>
        <v>0</v>
      </c>
      <c r="AB15" s="21">
        <f>ROUND(IF(AQ15="1",BH15,0),2)</f>
        <v>0</v>
      </c>
      <c r="AC15" s="21">
        <f>ROUND(IF(AQ15="1",BI15,0),2)</f>
        <v>0</v>
      </c>
      <c r="AD15" s="21">
        <f>ROUND(IF(AQ15="7",BH15,0),2)</f>
        <v>0</v>
      </c>
      <c r="AE15" s="21">
        <f>ROUND(IF(AQ15="7",BI15,0),2)</f>
        <v>0</v>
      </c>
      <c r="AF15" s="21">
        <f>ROUND(IF(AQ15="2",BH15,0),2)</f>
        <v>0</v>
      </c>
      <c r="AG15" s="21">
        <f>ROUND(IF(AQ15="2",BI15,0),2)</f>
        <v>0</v>
      </c>
      <c r="AH15" s="21">
        <f>ROUND(IF(AQ15="0",BJ15,0),2)</f>
        <v>0</v>
      </c>
      <c r="AI15" s="9" t="s">
        <v>47</v>
      </c>
      <c r="AJ15" s="21">
        <f>IF(AN15=0,J15,0)</f>
        <v>0</v>
      </c>
      <c r="AK15" s="21">
        <f>IF(AN15=12,J15,0)</f>
        <v>0</v>
      </c>
      <c r="AL15" s="21">
        <f>IF(AN15=21,J15,0)</f>
        <v>0</v>
      </c>
      <c r="AN15" s="21">
        <v>21</v>
      </c>
      <c r="AO15" s="21">
        <f>G15*0</f>
        <v>0</v>
      </c>
      <c r="AP15" s="21">
        <f>G15*(1-0)</f>
        <v>0</v>
      </c>
      <c r="AQ15" s="22" t="s">
        <v>50</v>
      </c>
      <c r="AV15" s="21">
        <f>ROUND(AW15+AX15,2)</f>
        <v>0</v>
      </c>
      <c r="AW15" s="21">
        <f>ROUND(F15*AO15,2)</f>
        <v>0</v>
      </c>
      <c r="AX15" s="21">
        <f>ROUND(F15*AP15,2)</f>
        <v>0</v>
      </c>
      <c r="AY15" s="22" t="s">
        <v>54</v>
      </c>
      <c r="AZ15" s="22" t="s">
        <v>55</v>
      </c>
      <c r="BA15" s="9" t="s">
        <v>56</v>
      </c>
      <c r="BC15" s="21">
        <f>AW15+AX15</f>
        <v>0</v>
      </c>
      <c r="BD15" s="21">
        <f>G15/(100-BE15)*100</f>
        <v>0</v>
      </c>
      <c r="BE15" s="21">
        <v>0</v>
      </c>
      <c r="BF15" s="21">
        <f>15</f>
        <v>15</v>
      </c>
      <c r="BH15" s="21">
        <f>F15*AO15</f>
        <v>0</v>
      </c>
      <c r="BI15" s="21">
        <f>F15*AP15</f>
        <v>0</v>
      </c>
      <c r="BJ15" s="21">
        <f>F15*G15</f>
        <v>0</v>
      </c>
      <c r="BK15" s="22" t="s">
        <v>57</v>
      </c>
      <c r="BL15" s="21">
        <v>17</v>
      </c>
      <c r="BW15" s="21">
        <v>21</v>
      </c>
      <c r="BX15" s="4" t="s">
        <v>62</v>
      </c>
    </row>
    <row r="16" spans="1:76" ht="26.4" x14ac:dyDescent="0.3">
      <c r="A16" s="23"/>
      <c r="B16" s="24" t="s">
        <v>58</v>
      </c>
      <c r="C16" s="106" t="s">
        <v>63</v>
      </c>
      <c r="D16" s="107"/>
      <c r="E16" s="107"/>
      <c r="F16" s="107"/>
      <c r="G16" s="107"/>
      <c r="H16" s="107"/>
      <c r="I16" s="107"/>
      <c r="J16" s="107"/>
      <c r="K16" s="108"/>
      <c r="BX16" s="25" t="s">
        <v>63</v>
      </c>
    </row>
    <row r="17" spans="1:76" ht="14.4" x14ac:dyDescent="0.3">
      <c r="A17" s="26" t="s">
        <v>47</v>
      </c>
      <c r="B17" s="27" t="s">
        <v>64</v>
      </c>
      <c r="C17" s="109" t="s">
        <v>65</v>
      </c>
      <c r="D17" s="110"/>
      <c r="E17" s="28" t="s">
        <v>17</v>
      </c>
      <c r="F17" s="28" t="s">
        <v>17</v>
      </c>
      <c r="G17" s="28" t="s">
        <v>17</v>
      </c>
      <c r="H17" s="1">
        <f>ROUND(SUM(H18:H18),2)</f>
        <v>0</v>
      </c>
      <c r="I17" s="1">
        <f>ROUND(SUM(I18:I18),2)</f>
        <v>0</v>
      </c>
      <c r="J17" s="1">
        <f>ROUND(SUM(J18:J18),2)</f>
        <v>0</v>
      </c>
      <c r="K17" s="61" t="s">
        <v>47</v>
      </c>
      <c r="AI17" s="9" t="s">
        <v>47</v>
      </c>
      <c r="AS17" s="1">
        <f>SUM(AJ18:AJ18)</f>
        <v>0</v>
      </c>
      <c r="AT17" s="1">
        <f>SUM(AK18:AK18)</f>
        <v>0</v>
      </c>
      <c r="AU17" s="1">
        <f>SUM(AL18:AL18)</f>
        <v>0</v>
      </c>
    </row>
    <row r="18" spans="1:76" ht="14.4" x14ac:dyDescent="0.3">
      <c r="A18" s="2" t="s">
        <v>66</v>
      </c>
      <c r="B18" s="3" t="s">
        <v>67</v>
      </c>
      <c r="C18" s="105" t="s">
        <v>68</v>
      </c>
      <c r="D18" s="103"/>
      <c r="E18" s="3" t="s">
        <v>69</v>
      </c>
      <c r="F18" s="21">
        <v>1850</v>
      </c>
      <c r="G18" s="56">
        <v>0</v>
      </c>
      <c r="H18" s="21">
        <f>ROUND(F18*AO18,2)</f>
        <v>0</v>
      </c>
      <c r="I18" s="21">
        <f>ROUND(F18*AP18,2)</f>
        <v>0</v>
      </c>
      <c r="J18" s="21">
        <f>ROUND(F18*G18,2)</f>
        <v>0</v>
      </c>
      <c r="K18" s="60"/>
      <c r="Z18" s="21">
        <f>ROUND(IF(AQ18="5",BJ18,0),2)</f>
        <v>0</v>
      </c>
      <c r="AB18" s="21">
        <f>ROUND(IF(AQ18="1",BH18,0),2)</f>
        <v>0</v>
      </c>
      <c r="AC18" s="21">
        <f>ROUND(IF(AQ18="1",BI18,0),2)</f>
        <v>0</v>
      </c>
      <c r="AD18" s="21">
        <f>ROUND(IF(AQ18="7",BH18,0),2)</f>
        <v>0</v>
      </c>
      <c r="AE18" s="21">
        <f>ROUND(IF(AQ18="7",BI18,0),2)</f>
        <v>0</v>
      </c>
      <c r="AF18" s="21">
        <f>ROUND(IF(AQ18="2",BH18,0),2)</f>
        <v>0</v>
      </c>
      <c r="AG18" s="21">
        <f>ROUND(IF(AQ18="2",BI18,0),2)</f>
        <v>0</v>
      </c>
      <c r="AH18" s="21">
        <f>ROUND(IF(AQ18="0",BJ18,0),2)</f>
        <v>0</v>
      </c>
      <c r="AI18" s="9" t="s">
        <v>47</v>
      </c>
      <c r="AJ18" s="21">
        <f>IF(AN18=0,J18,0)</f>
        <v>0</v>
      </c>
      <c r="AK18" s="21">
        <f>IF(AN18=12,J18,0)</f>
        <v>0</v>
      </c>
      <c r="AL18" s="21">
        <f>IF(AN18=21,J18,0)</f>
        <v>0</v>
      </c>
      <c r="AN18" s="21">
        <v>21</v>
      </c>
      <c r="AO18" s="21">
        <f>G18*0.892857143</f>
        <v>0</v>
      </c>
      <c r="AP18" s="21">
        <f>G18*(1-0.892857143)</f>
        <v>0</v>
      </c>
      <c r="AQ18" s="22" t="s">
        <v>50</v>
      </c>
      <c r="AV18" s="21">
        <f>ROUND(AW18+AX18,2)</f>
        <v>0</v>
      </c>
      <c r="AW18" s="21">
        <f>ROUND(F18*AO18,2)</f>
        <v>0</v>
      </c>
      <c r="AX18" s="21">
        <f>ROUND(F18*AP18,2)</f>
        <v>0</v>
      </c>
      <c r="AY18" s="22" t="s">
        <v>70</v>
      </c>
      <c r="AZ18" s="22" t="s">
        <v>55</v>
      </c>
      <c r="BA18" s="9" t="s">
        <v>56</v>
      </c>
      <c r="BC18" s="21">
        <f>AW18+AX18</f>
        <v>0</v>
      </c>
      <c r="BD18" s="21">
        <f>G18/(100-BE18)*100</f>
        <v>0</v>
      </c>
      <c r="BE18" s="21">
        <v>0</v>
      </c>
      <c r="BF18" s="21">
        <f>18</f>
        <v>18</v>
      </c>
      <c r="BH18" s="21">
        <f>F18*AO18</f>
        <v>0</v>
      </c>
      <c r="BI18" s="21">
        <f>F18*AP18</f>
        <v>0</v>
      </c>
      <c r="BJ18" s="21">
        <f>F18*G18</f>
        <v>0</v>
      </c>
      <c r="BK18" s="22" t="s">
        <v>57</v>
      </c>
      <c r="BL18" s="21">
        <v>18</v>
      </c>
      <c r="BW18" s="21">
        <v>21</v>
      </c>
      <c r="BX18" s="4" t="s">
        <v>68</v>
      </c>
    </row>
    <row r="19" spans="1:76" ht="14.4" x14ac:dyDescent="0.3">
      <c r="A19" s="26" t="s">
        <v>47</v>
      </c>
      <c r="B19" s="27" t="s">
        <v>71</v>
      </c>
      <c r="C19" s="109" t="s">
        <v>72</v>
      </c>
      <c r="D19" s="110"/>
      <c r="E19" s="28" t="s">
        <v>17</v>
      </c>
      <c r="F19" s="28" t="s">
        <v>17</v>
      </c>
      <c r="G19" s="28" t="s">
        <v>17</v>
      </c>
      <c r="H19" s="1">
        <f>ROUND(SUM(H20:H20),2)</f>
        <v>0</v>
      </c>
      <c r="I19" s="1">
        <f>ROUND(SUM(I20:I20),2)</f>
        <v>0</v>
      </c>
      <c r="J19" s="1">
        <f>ROUND(SUM(J20:J20),2)</f>
        <v>0</v>
      </c>
      <c r="K19" s="61" t="s">
        <v>47</v>
      </c>
      <c r="AI19" s="9" t="s">
        <v>47</v>
      </c>
      <c r="AS19" s="1">
        <f>SUM(AJ20:AJ20)</f>
        <v>0</v>
      </c>
      <c r="AT19" s="1">
        <f>SUM(AK20:AK20)</f>
        <v>0</v>
      </c>
      <c r="AU19" s="1">
        <f>SUM(AL20:AL20)</f>
        <v>0</v>
      </c>
    </row>
    <row r="20" spans="1:76" ht="14.4" x14ac:dyDescent="0.3">
      <c r="A20" s="2" t="s">
        <v>73</v>
      </c>
      <c r="B20" s="3" t="s">
        <v>74</v>
      </c>
      <c r="C20" s="105" t="s">
        <v>75</v>
      </c>
      <c r="D20" s="103"/>
      <c r="E20" s="77" t="s">
        <v>285</v>
      </c>
      <c r="F20" s="21">
        <v>1</v>
      </c>
      <c r="G20" s="56">
        <v>0</v>
      </c>
      <c r="H20" s="21">
        <f>ROUND(F20*AO20,2)</f>
        <v>0</v>
      </c>
      <c r="I20" s="21">
        <f>ROUND(F20*AP20,2)</f>
        <v>0</v>
      </c>
      <c r="J20" s="21">
        <f>ROUND(F20*G20,2)</f>
        <v>0</v>
      </c>
      <c r="K20" s="60"/>
      <c r="Z20" s="21">
        <f>ROUND(IF(AQ20="5",BJ20,0),2)</f>
        <v>0</v>
      </c>
      <c r="AB20" s="21">
        <f>ROUND(IF(AQ20="1",BH20,0),2)</f>
        <v>0</v>
      </c>
      <c r="AC20" s="21">
        <f>ROUND(IF(AQ20="1",BI20,0),2)</f>
        <v>0</v>
      </c>
      <c r="AD20" s="21">
        <f>ROUND(IF(AQ20="7",BH20,0),2)</f>
        <v>0</v>
      </c>
      <c r="AE20" s="21">
        <f>ROUND(IF(AQ20="7",BI20,0),2)</f>
        <v>0</v>
      </c>
      <c r="AF20" s="21">
        <f>ROUND(IF(AQ20="2",BH20,0),2)</f>
        <v>0</v>
      </c>
      <c r="AG20" s="21">
        <f>ROUND(IF(AQ20="2",BI20,0),2)</f>
        <v>0</v>
      </c>
      <c r="AH20" s="21">
        <f>ROUND(IF(AQ20="0",BJ20,0),2)</f>
        <v>0</v>
      </c>
      <c r="AI20" s="9" t="s">
        <v>47</v>
      </c>
      <c r="AJ20" s="21">
        <f>IF(AN20=0,J20,0)</f>
        <v>0</v>
      </c>
      <c r="AK20" s="21">
        <f>IF(AN20=12,J20,0)</f>
        <v>0</v>
      </c>
      <c r="AL20" s="21">
        <f>IF(AN20=21,J20,0)</f>
        <v>0</v>
      </c>
      <c r="AN20" s="21">
        <v>21</v>
      </c>
      <c r="AO20" s="21">
        <f>G20*0</f>
        <v>0</v>
      </c>
      <c r="AP20" s="21">
        <f>G20*(1-0)</f>
        <v>0</v>
      </c>
      <c r="AQ20" s="22" t="s">
        <v>50</v>
      </c>
      <c r="AV20" s="21">
        <f>ROUND(AW20+AX20,2)</f>
        <v>0</v>
      </c>
      <c r="AW20" s="21">
        <f>ROUND(F20*AO20,2)</f>
        <v>0</v>
      </c>
      <c r="AX20" s="21">
        <f>ROUND(F20*AP20,2)</f>
        <v>0</v>
      </c>
      <c r="AY20" s="22" t="s">
        <v>76</v>
      </c>
      <c r="AZ20" s="22" t="s">
        <v>77</v>
      </c>
      <c r="BA20" s="9" t="s">
        <v>56</v>
      </c>
      <c r="BC20" s="21">
        <f>AW20+AX20</f>
        <v>0</v>
      </c>
      <c r="BD20" s="21">
        <f>G20/(100-BE20)*100</f>
        <v>0</v>
      </c>
      <c r="BE20" s="21">
        <v>0</v>
      </c>
      <c r="BF20" s="21">
        <f>20</f>
        <v>20</v>
      </c>
      <c r="BH20" s="21">
        <f>F20*AO20</f>
        <v>0</v>
      </c>
      <c r="BI20" s="21">
        <f>F20*AP20</f>
        <v>0</v>
      </c>
      <c r="BJ20" s="21">
        <f>F20*G20</f>
        <v>0</v>
      </c>
      <c r="BK20" s="22" t="s">
        <v>57</v>
      </c>
      <c r="BL20" s="21">
        <v>54</v>
      </c>
      <c r="BW20" s="21">
        <v>21</v>
      </c>
      <c r="BX20" s="4" t="s">
        <v>75</v>
      </c>
    </row>
    <row r="21" spans="1:76" ht="14.4" x14ac:dyDescent="0.3">
      <c r="A21" s="26" t="s">
        <v>47</v>
      </c>
      <c r="B21" s="27" t="s">
        <v>78</v>
      </c>
      <c r="C21" s="109" t="s">
        <v>79</v>
      </c>
      <c r="D21" s="110"/>
      <c r="E21" s="28" t="s">
        <v>17</v>
      </c>
      <c r="F21" s="28" t="s">
        <v>17</v>
      </c>
      <c r="G21" s="28" t="s">
        <v>17</v>
      </c>
      <c r="H21" s="1">
        <f>ROUND(SUM(H22:H22),2)</f>
        <v>0</v>
      </c>
      <c r="I21" s="1">
        <f>ROUND(SUM(I22:I22),2)</f>
        <v>0</v>
      </c>
      <c r="J21" s="1">
        <f>ROUND(SUM(J22:J22),2)</f>
        <v>0</v>
      </c>
      <c r="K21" s="61" t="s">
        <v>47</v>
      </c>
      <c r="AI21" s="9" t="s">
        <v>47</v>
      </c>
      <c r="AS21" s="1">
        <f>SUM(AJ22:AJ22)</f>
        <v>0</v>
      </c>
      <c r="AT21" s="1">
        <f>SUM(AK22:AK22)</f>
        <v>0</v>
      </c>
      <c r="AU21" s="1">
        <f>SUM(AL22:AL22)</f>
        <v>0</v>
      </c>
    </row>
    <row r="22" spans="1:76" ht="14.4" x14ac:dyDescent="0.3">
      <c r="A22" s="2" t="s">
        <v>80</v>
      </c>
      <c r="B22" s="3" t="s">
        <v>81</v>
      </c>
      <c r="C22" s="105" t="s">
        <v>82</v>
      </c>
      <c r="D22" s="103"/>
      <c r="E22" s="3" t="s">
        <v>69</v>
      </c>
      <c r="F22" s="21">
        <v>1975</v>
      </c>
      <c r="G22" s="56">
        <v>0</v>
      </c>
      <c r="H22" s="21">
        <f>ROUND(F22*AO22,2)</f>
        <v>0</v>
      </c>
      <c r="I22" s="21">
        <f>ROUND(F22*AP22,2)</f>
        <v>0</v>
      </c>
      <c r="J22" s="21">
        <f>ROUND(F22*G22,2)</f>
        <v>0</v>
      </c>
      <c r="K22" s="60"/>
      <c r="Z22" s="21">
        <f>ROUND(IF(AQ22="5",BJ22,0),2)</f>
        <v>0</v>
      </c>
      <c r="AB22" s="21">
        <f>ROUND(IF(AQ22="1",BH22,0),2)</f>
        <v>0</v>
      </c>
      <c r="AC22" s="21">
        <f>ROUND(IF(AQ22="1",BI22,0),2)</f>
        <v>0</v>
      </c>
      <c r="AD22" s="21">
        <f>ROUND(IF(AQ22="7",BH22,0),2)</f>
        <v>0</v>
      </c>
      <c r="AE22" s="21">
        <f>ROUND(IF(AQ22="7",BI22,0),2)</f>
        <v>0</v>
      </c>
      <c r="AF22" s="21">
        <f>ROUND(IF(AQ22="2",BH22,0),2)</f>
        <v>0</v>
      </c>
      <c r="AG22" s="21">
        <f>ROUND(IF(AQ22="2",BI22,0),2)</f>
        <v>0</v>
      </c>
      <c r="AH22" s="21">
        <f>ROUND(IF(AQ22="0",BJ22,0),2)</f>
        <v>0</v>
      </c>
      <c r="AI22" s="9" t="s">
        <v>47</v>
      </c>
      <c r="AJ22" s="21">
        <f>IF(AN22=0,J22,0)</f>
        <v>0</v>
      </c>
      <c r="AK22" s="21">
        <f>IF(AN22=12,J22,0)</f>
        <v>0</v>
      </c>
      <c r="AL22" s="21">
        <f>IF(AN22=21,J22,0)</f>
        <v>0</v>
      </c>
      <c r="AN22" s="21">
        <v>21</v>
      </c>
      <c r="AO22" s="21">
        <f>G22*0</f>
        <v>0</v>
      </c>
      <c r="AP22" s="21">
        <f>G22*(1-0)</f>
        <v>0</v>
      </c>
      <c r="AQ22" s="22" t="s">
        <v>83</v>
      </c>
      <c r="AV22" s="21">
        <f>ROUND(AW22+AX22,2)</f>
        <v>0</v>
      </c>
      <c r="AW22" s="21">
        <f>ROUND(F22*AO22,2)</f>
        <v>0</v>
      </c>
      <c r="AX22" s="21">
        <f>ROUND(F22*AP22,2)</f>
        <v>0</v>
      </c>
      <c r="AY22" s="22" t="s">
        <v>84</v>
      </c>
      <c r="AZ22" s="22" t="s">
        <v>85</v>
      </c>
      <c r="BA22" s="9" t="s">
        <v>56</v>
      </c>
      <c r="BC22" s="21">
        <f>AW22+AX22</f>
        <v>0</v>
      </c>
      <c r="BD22" s="21">
        <f>G22/(100-BE22)*100</f>
        <v>0</v>
      </c>
      <c r="BE22" s="21">
        <v>0</v>
      </c>
      <c r="BF22" s="21">
        <f>22</f>
        <v>22</v>
      </c>
      <c r="BH22" s="21">
        <f>F22*AO22</f>
        <v>0</v>
      </c>
      <c r="BI22" s="21">
        <f>F22*AP22</f>
        <v>0</v>
      </c>
      <c r="BJ22" s="21">
        <f>F22*G22</f>
        <v>0</v>
      </c>
      <c r="BK22" s="22" t="s">
        <v>57</v>
      </c>
      <c r="BL22" s="21">
        <v>711</v>
      </c>
      <c r="BW22" s="21">
        <v>21</v>
      </c>
      <c r="BX22" s="4" t="s">
        <v>82</v>
      </c>
    </row>
    <row r="23" spans="1:76" ht="14.4" x14ac:dyDescent="0.3">
      <c r="A23" s="26" t="s">
        <v>47</v>
      </c>
      <c r="B23" s="27" t="s">
        <v>86</v>
      </c>
      <c r="C23" s="109" t="s">
        <v>87</v>
      </c>
      <c r="D23" s="110"/>
      <c r="E23" s="28" t="s">
        <v>17</v>
      </c>
      <c r="F23" s="28" t="s">
        <v>17</v>
      </c>
      <c r="G23" s="28" t="s">
        <v>17</v>
      </c>
      <c r="H23" s="1">
        <f>ROUND(SUM(H24:H25),2)</f>
        <v>0</v>
      </c>
      <c r="I23" s="1">
        <f>ROUND(SUM(I24:I25),2)</f>
        <v>0</v>
      </c>
      <c r="J23" s="1">
        <f>ROUND(SUM(J24:J25),2)</f>
        <v>0</v>
      </c>
      <c r="K23" s="61" t="s">
        <v>47</v>
      </c>
      <c r="AI23" s="9" t="s">
        <v>47</v>
      </c>
      <c r="AS23" s="1">
        <f>SUM(AJ24:AJ25)</f>
        <v>0</v>
      </c>
      <c r="AT23" s="1">
        <f>SUM(AK24:AK25)</f>
        <v>0</v>
      </c>
      <c r="AU23" s="1">
        <f>SUM(AL24:AL25)</f>
        <v>0</v>
      </c>
    </row>
    <row r="24" spans="1:76" ht="14.4" x14ac:dyDescent="0.3">
      <c r="A24" s="2" t="s">
        <v>88</v>
      </c>
      <c r="B24" s="3" t="s">
        <v>89</v>
      </c>
      <c r="C24" s="105" t="s">
        <v>90</v>
      </c>
      <c r="D24" s="103"/>
      <c r="E24" s="3" t="s">
        <v>69</v>
      </c>
      <c r="F24" s="21">
        <v>1552</v>
      </c>
      <c r="G24" s="56">
        <v>0</v>
      </c>
      <c r="H24" s="21">
        <f>ROUND(F24*AO24,2)</f>
        <v>0</v>
      </c>
      <c r="I24" s="21">
        <f>ROUND(F24*AP24,2)</f>
        <v>0</v>
      </c>
      <c r="J24" s="21">
        <f>ROUND(F24*G24,2)</f>
        <v>0</v>
      </c>
      <c r="K24" s="60"/>
      <c r="Z24" s="21">
        <f>ROUND(IF(AQ24="5",BJ24,0),2)</f>
        <v>0</v>
      </c>
      <c r="AB24" s="21">
        <f>ROUND(IF(AQ24="1",BH24,0),2)</f>
        <v>0</v>
      </c>
      <c r="AC24" s="21">
        <f>ROUND(IF(AQ24="1",BI24,0),2)</f>
        <v>0</v>
      </c>
      <c r="AD24" s="21">
        <f>ROUND(IF(AQ24="7",BH24,0),2)</f>
        <v>0</v>
      </c>
      <c r="AE24" s="21">
        <f>ROUND(IF(AQ24="7",BI24,0),2)</f>
        <v>0</v>
      </c>
      <c r="AF24" s="21">
        <f>ROUND(IF(AQ24="2",BH24,0),2)</f>
        <v>0</v>
      </c>
      <c r="AG24" s="21">
        <f>ROUND(IF(AQ24="2",BI24,0),2)</f>
        <v>0</v>
      </c>
      <c r="AH24" s="21">
        <f>ROUND(IF(AQ24="0",BJ24,0),2)</f>
        <v>0</v>
      </c>
      <c r="AI24" s="9" t="s">
        <v>47</v>
      </c>
      <c r="AJ24" s="21">
        <f>IF(AN24=0,J24,0)</f>
        <v>0</v>
      </c>
      <c r="AK24" s="21">
        <f>IF(AN24=12,J24,0)</f>
        <v>0</v>
      </c>
      <c r="AL24" s="21">
        <f>IF(AN24=21,J24,0)</f>
        <v>0</v>
      </c>
      <c r="AN24" s="21">
        <v>21</v>
      </c>
      <c r="AO24" s="21">
        <f>G24*0</f>
        <v>0</v>
      </c>
      <c r="AP24" s="21">
        <f>G24*(1-0)</f>
        <v>0</v>
      </c>
      <c r="AQ24" s="22" t="s">
        <v>83</v>
      </c>
      <c r="AV24" s="21">
        <f>ROUND(AW24+AX24,2)</f>
        <v>0</v>
      </c>
      <c r="AW24" s="21">
        <f>ROUND(F24*AO24,2)</f>
        <v>0</v>
      </c>
      <c r="AX24" s="21">
        <f>ROUND(F24*AP24,2)</f>
        <v>0</v>
      </c>
      <c r="AY24" s="22" t="s">
        <v>91</v>
      </c>
      <c r="AZ24" s="22" t="s">
        <v>92</v>
      </c>
      <c r="BA24" s="9" t="s">
        <v>56</v>
      </c>
      <c r="BC24" s="21">
        <f>AW24+AX24</f>
        <v>0</v>
      </c>
      <c r="BD24" s="21">
        <f>G24/(100-BE24)*100</f>
        <v>0</v>
      </c>
      <c r="BE24" s="21">
        <v>0</v>
      </c>
      <c r="BF24" s="21">
        <f>24</f>
        <v>24</v>
      </c>
      <c r="BH24" s="21">
        <f>F24*AO24</f>
        <v>0</v>
      </c>
      <c r="BI24" s="21">
        <f>F24*AP24</f>
        <v>0</v>
      </c>
      <c r="BJ24" s="21">
        <f>F24*G24</f>
        <v>0</v>
      </c>
      <c r="BK24" s="22" t="s">
        <v>57</v>
      </c>
      <c r="BL24" s="21">
        <v>764</v>
      </c>
      <c r="BW24" s="21">
        <v>21</v>
      </c>
      <c r="BX24" s="4" t="s">
        <v>90</v>
      </c>
    </row>
    <row r="25" spans="1:76" ht="14.4" x14ac:dyDescent="0.3">
      <c r="A25" s="2" t="s">
        <v>83</v>
      </c>
      <c r="B25" s="3" t="s">
        <v>89</v>
      </c>
      <c r="C25" s="105" t="s">
        <v>93</v>
      </c>
      <c r="D25" s="103"/>
      <c r="E25" s="3" t="s">
        <v>69</v>
      </c>
      <c r="F25" s="21">
        <v>423</v>
      </c>
      <c r="G25" s="56">
        <v>0</v>
      </c>
      <c r="H25" s="21">
        <f>ROUND(F25*AO25,2)</f>
        <v>0</v>
      </c>
      <c r="I25" s="21">
        <f>ROUND(F25*AP25,2)</f>
        <v>0</v>
      </c>
      <c r="J25" s="21">
        <f>ROUND(F25*G25,2)</f>
        <v>0</v>
      </c>
      <c r="K25" s="60"/>
      <c r="Z25" s="21">
        <f>ROUND(IF(AQ25="5",BJ25,0),2)</f>
        <v>0</v>
      </c>
      <c r="AB25" s="21">
        <f>ROUND(IF(AQ25="1",BH25,0),2)</f>
        <v>0</v>
      </c>
      <c r="AC25" s="21">
        <f>ROUND(IF(AQ25="1",BI25,0),2)</f>
        <v>0</v>
      </c>
      <c r="AD25" s="21">
        <f>ROUND(IF(AQ25="7",BH25,0),2)</f>
        <v>0</v>
      </c>
      <c r="AE25" s="21">
        <f>ROUND(IF(AQ25="7",BI25,0),2)</f>
        <v>0</v>
      </c>
      <c r="AF25" s="21">
        <f>ROUND(IF(AQ25="2",BH25,0),2)</f>
        <v>0</v>
      </c>
      <c r="AG25" s="21">
        <f>ROUND(IF(AQ25="2",BI25,0),2)</f>
        <v>0</v>
      </c>
      <c r="AH25" s="21">
        <f>ROUND(IF(AQ25="0",BJ25,0),2)</f>
        <v>0</v>
      </c>
      <c r="AI25" s="9" t="s">
        <v>47</v>
      </c>
      <c r="AJ25" s="21">
        <f>IF(AN25=0,J25,0)</f>
        <v>0</v>
      </c>
      <c r="AK25" s="21">
        <f>IF(AN25=12,J25,0)</f>
        <v>0</v>
      </c>
      <c r="AL25" s="21">
        <f>IF(AN25=21,J25,0)</f>
        <v>0</v>
      </c>
      <c r="AN25" s="21">
        <v>21</v>
      </c>
      <c r="AO25" s="21">
        <f>G25*0</f>
        <v>0</v>
      </c>
      <c r="AP25" s="21">
        <f>G25*(1-0)</f>
        <v>0</v>
      </c>
      <c r="AQ25" s="22" t="s">
        <v>83</v>
      </c>
      <c r="AV25" s="21">
        <f>ROUND(AW25+AX25,2)</f>
        <v>0</v>
      </c>
      <c r="AW25" s="21">
        <f>ROUND(F25*AO25,2)</f>
        <v>0</v>
      </c>
      <c r="AX25" s="21">
        <f>ROUND(F25*AP25,2)</f>
        <v>0</v>
      </c>
      <c r="AY25" s="22" t="s">
        <v>91</v>
      </c>
      <c r="AZ25" s="22" t="s">
        <v>92</v>
      </c>
      <c r="BA25" s="9" t="s">
        <v>56</v>
      </c>
      <c r="BC25" s="21">
        <f>AW25+AX25</f>
        <v>0</v>
      </c>
      <c r="BD25" s="21">
        <f>G25/(100-BE25)*100</f>
        <v>0</v>
      </c>
      <c r="BE25" s="21">
        <v>0</v>
      </c>
      <c r="BF25" s="21">
        <f>25</f>
        <v>25</v>
      </c>
      <c r="BH25" s="21">
        <f>F25*AO25</f>
        <v>0</v>
      </c>
      <c r="BI25" s="21">
        <f>F25*AP25</f>
        <v>0</v>
      </c>
      <c r="BJ25" s="21">
        <f>F25*G25</f>
        <v>0</v>
      </c>
      <c r="BK25" s="22" t="s">
        <v>57</v>
      </c>
      <c r="BL25" s="21">
        <v>764</v>
      </c>
      <c r="BW25" s="21">
        <v>21</v>
      </c>
      <c r="BX25" s="4" t="s">
        <v>93</v>
      </c>
    </row>
    <row r="26" spans="1:76" ht="14.4" x14ac:dyDescent="0.3">
      <c r="A26" s="26" t="s">
        <v>47</v>
      </c>
      <c r="B26" s="27" t="s">
        <v>94</v>
      </c>
      <c r="C26" s="109" t="s">
        <v>95</v>
      </c>
      <c r="D26" s="110"/>
      <c r="E26" s="28" t="s">
        <v>17</v>
      </c>
      <c r="F26" s="28" t="s">
        <v>17</v>
      </c>
      <c r="G26" s="28" t="s">
        <v>17</v>
      </c>
      <c r="H26" s="1">
        <f>ROUND(SUM(H27:H31),2)</f>
        <v>0</v>
      </c>
      <c r="I26" s="1">
        <f>ROUND(SUM(I27:I31),2)</f>
        <v>0</v>
      </c>
      <c r="J26" s="1">
        <f>ROUND(SUM(J27:J31),2)</f>
        <v>0</v>
      </c>
      <c r="K26" s="61" t="s">
        <v>47</v>
      </c>
      <c r="AI26" s="9" t="s">
        <v>47</v>
      </c>
      <c r="AS26" s="1">
        <f>SUM(AJ27:AJ31)</f>
        <v>0</v>
      </c>
      <c r="AT26" s="1">
        <f>SUM(AK27:AK31)</f>
        <v>0</v>
      </c>
      <c r="AU26" s="1">
        <f>SUM(AL27:AL31)</f>
        <v>0</v>
      </c>
    </row>
    <row r="27" spans="1:76" ht="14.4" x14ac:dyDescent="0.3">
      <c r="A27" s="2" t="s">
        <v>96</v>
      </c>
      <c r="B27" s="3" t="s">
        <v>97</v>
      </c>
      <c r="C27" s="105" t="s">
        <v>98</v>
      </c>
      <c r="D27" s="103"/>
      <c r="E27" s="3" t="s">
        <v>69</v>
      </c>
      <c r="F27" s="21">
        <v>660</v>
      </c>
      <c r="G27" s="56">
        <v>0</v>
      </c>
      <c r="H27" s="21">
        <f>ROUND(F27*AO27,2)</f>
        <v>0</v>
      </c>
      <c r="I27" s="21">
        <f>ROUND(F27*AP27,2)</f>
        <v>0</v>
      </c>
      <c r="J27" s="21">
        <f>ROUND(F27*G27,2)</f>
        <v>0</v>
      </c>
      <c r="K27" s="60"/>
      <c r="Z27" s="21">
        <f>ROUND(IF(AQ27="5",BJ27,0),2)</f>
        <v>0</v>
      </c>
      <c r="AB27" s="21">
        <f>ROUND(IF(AQ27="1",BH27,0),2)</f>
        <v>0</v>
      </c>
      <c r="AC27" s="21">
        <f>ROUND(IF(AQ27="1",BI27,0),2)</f>
        <v>0</v>
      </c>
      <c r="AD27" s="21">
        <f>ROUND(IF(AQ27="7",BH27,0),2)</f>
        <v>0</v>
      </c>
      <c r="AE27" s="21">
        <f>ROUND(IF(AQ27="7",BI27,0),2)</f>
        <v>0</v>
      </c>
      <c r="AF27" s="21">
        <f>ROUND(IF(AQ27="2",BH27,0),2)</f>
        <v>0</v>
      </c>
      <c r="AG27" s="21">
        <f>ROUND(IF(AQ27="2",BI27,0),2)</f>
        <v>0</v>
      </c>
      <c r="AH27" s="21">
        <f>ROUND(IF(AQ27="0",BJ27,0),2)</f>
        <v>0</v>
      </c>
      <c r="AI27" s="9" t="s">
        <v>47</v>
      </c>
      <c r="AJ27" s="21">
        <f>IF(AN27=0,J27,0)</f>
        <v>0</v>
      </c>
      <c r="AK27" s="21">
        <f>IF(AN27=12,J27,0)</f>
        <v>0</v>
      </c>
      <c r="AL27" s="21">
        <f>IF(AN27=21,J27,0)</f>
        <v>0</v>
      </c>
      <c r="AN27" s="21">
        <v>21</v>
      </c>
      <c r="AO27" s="21">
        <f>G27*0.000089286</f>
        <v>0</v>
      </c>
      <c r="AP27" s="21">
        <f>G27*(1-0.000089286)</f>
        <v>0</v>
      </c>
      <c r="AQ27" s="22" t="s">
        <v>50</v>
      </c>
      <c r="AV27" s="21">
        <f>ROUND(AW27+AX27,2)</f>
        <v>0</v>
      </c>
      <c r="AW27" s="21">
        <f>ROUND(F27*AO27,2)</f>
        <v>0</v>
      </c>
      <c r="AX27" s="21">
        <f>ROUND(F27*AP27,2)</f>
        <v>0</v>
      </c>
      <c r="AY27" s="22" t="s">
        <v>99</v>
      </c>
      <c r="AZ27" s="22" t="s">
        <v>100</v>
      </c>
      <c r="BA27" s="9" t="s">
        <v>56</v>
      </c>
      <c r="BC27" s="21">
        <f>AW27+AX27</f>
        <v>0</v>
      </c>
      <c r="BD27" s="21">
        <f>G27/(100-BE27)*100</f>
        <v>0</v>
      </c>
      <c r="BE27" s="21">
        <v>0</v>
      </c>
      <c r="BF27" s="21">
        <f>27</f>
        <v>27</v>
      </c>
      <c r="BH27" s="21">
        <f>F27*AO27</f>
        <v>0</v>
      </c>
      <c r="BI27" s="21">
        <f>F27*AP27</f>
        <v>0</v>
      </c>
      <c r="BJ27" s="21">
        <f>F27*G27</f>
        <v>0</v>
      </c>
      <c r="BK27" s="22" t="s">
        <v>57</v>
      </c>
      <c r="BL27" s="21">
        <v>94</v>
      </c>
      <c r="BW27" s="21">
        <v>21</v>
      </c>
      <c r="BX27" s="4" t="s">
        <v>98</v>
      </c>
    </row>
    <row r="28" spans="1:76" ht="14.4" x14ac:dyDescent="0.3">
      <c r="A28" s="23"/>
      <c r="B28" s="24" t="s">
        <v>58</v>
      </c>
      <c r="C28" s="106" t="s">
        <v>101</v>
      </c>
      <c r="D28" s="107"/>
      <c r="E28" s="107"/>
      <c r="F28" s="107"/>
      <c r="G28" s="107"/>
      <c r="H28" s="107"/>
      <c r="I28" s="107"/>
      <c r="J28" s="107"/>
      <c r="K28" s="120"/>
      <c r="BX28" s="25" t="s">
        <v>101</v>
      </c>
    </row>
    <row r="29" spans="1:76" ht="14.4" x14ac:dyDescent="0.3">
      <c r="A29" s="2" t="s">
        <v>102</v>
      </c>
      <c r="B29" s="3" t="s">
        <v>103</v>
      </c>
      <c r="C29" s="121" t="s">
        <v>286</v>
      </c>
      <c r="D29" s="122"/>
      <c r="E29" s="67" t="s">
        <v>285</v>
      </c>
      <c r="F29" s="68">
        <v>1</v>
      </c>
      <c r="G29" s="56">
        <v>0</v>
      </c>
      <c r="H29" s="21">
        <f>ROUND(F29*AO29,2)</f>
        <v>0</v>
      </c>
      <c r="I29" s="21">
        <f>ROUND(F29*AP29,2)</f>
        <v>0</v>
      </c>
      <c r="J29" s="21">
        <f>ROUND(F29*G29,2)</f>
        <v>0</v>
      </c>
      <c r="K29" s="60"/>
      <c r="Z29" s="21">
        <f>ROUND(IF(AQ29="5",BJ29,0),2)</f>
        <v>0</v>
      </c>
      <c r="AB29" s="21">
        <f>ROUND(IF(AQ29="1",BH29,0),2)</f>
        <v>0</v>
      </c>
      <c r="AC29" s="21">
        <f>ROUND(IF(AQ29="1",BI29,0),2)</f>
        <v>0</v>
      </c>
      <c r="AD29" s="21">
        <f>ROUND(IF(AQ29="7",BH29,0),2)</f>
        <v>0</v>
      </c>
      <c r="AE29" s="21">
        <f>ROUND(IF(AQ29="7",BI29,0),2)</f>
        <v>0</v>
      </c>
      <c r="AF29" s="21">
        <f>ROUND(IF(AQ29="2",BH29,0),2)</f>
        <v>0</v>
      </c>
      <c r="AG29" s="21">
        <f>ROUND(IF(AQ29="2",BI29,0),2)</f>
        <v>0</v>
      </c>
      <c r="AH29" s="21">
        <f>ROUND(IF(AQ29="0",BJ29,0),2)</f>
        <v>0</v>
      </c>
      <c r="AI29" s="9" t="s">
        <v>47</v>
      </c>
      <c r="AJ29" s="21">
        <f>IF(AN29=0,J29,0)</f>
        <v>0</v>
      </c>
      <c r="AK29" s="21">
        <f>IF(AN29=12,J29,0)</f>
        <v>0</v>
      </c>
      <c r="AL29" s="21">
        <f>IF(AN29=21,J29,0)</f>
        <v>0</v>
      </c>
      <c r="AN29" s="21">
        <v>21</v>
      </c>
      <c r="AO29" s="21">
        <f>G29*0</f>
        <v>0</v>
      </c>
      <c r="AP29" s="21">
        <f>G29*(1-0)</f>
        <v>0</v>
      </c>
      <c r="AQ29" s="22" t="s">
        <v>50</v>
      </c>
      <c r="AV29" s="21">
        <f>ROUND(AW29+AX29,2)</f>
        <v>0</v>
      </c>
      <c r="AW29" s="21">
        <f>ROUND(F29*AO29,2)</f>
        <v>0</v>
      </c>
      <c r="AX29" s="21">
        <f>ROUND(F29*AP29,2)</f>
        <v>0</v>
      </c>
      <c r="AY29" s="22" t="s">
        <v>99</v>
      </c>
      <c r="AZ29" s="22" t="s">
        <v>100</v>
      </c>
      <c r="BA29" s="9" t="s">
        <v>56</v>
      </c>
      <c r="BC29" s="21">
        <f>AW29+AX29</f>
        <v>0</v>
      </c>
      <c r="BD29" s="21">
        <f>G29/(100-BE29)*100</f>
        <v>0</v>
      </c>
      <c r="BE29" s="21">
        <v>0</v>
      </c>
      <c r="BF29" s="21">
        <f>29</f>
        <v>29</v>
      </c>
      <c r="BH29" s="21">
        <f>F29*AO29</f>
        <v>0</v>
      </c>
      <c r="BI29" s="21">
        <f>F29*AP29</f>
        <v>0</v>
      </c>
      <c r="BJ29" s="21">
        <f>F29*G29</f>
        <v>0</v>
      </c>
      <c r="BK29" s="22" t="s">
        <v>57</v>
      </c>
      <c r="BL29" s="21">
        <v>94</v>
      </c>
      <c r="BW29" s="21">
        <v>21</v>
      </c>
      <c r="BX29" s="4" t="s">
        <v>104</v>
      </c>
    </row>
    <row r="30" spans="1:76" ht="39.6" x14ac:dyDescent="0.3">
      <c r="A30" s="23"/>
      <c r="B30" s="24" t="s">
        <v>58</v>
      </c>
      <c r="C30" s="106" t="s">
        <v>105</v>
      </c>
      <c r="D30" s="107"/>
      <c r="E30" s="107"/>
      <c r="F30" s="107"/>
      <c r="G30" s="107"/>
      <c r="H30" s="107"/>
      <c r="I30" s="107"/>
      <c r="J30" s="107"/>
      <c r="K30" s="120"/>
      <c r="BX30" s="25" t="s">
        <v>105</v>
      </c>
    </row>
    <row r="31" spans="1:76" ht="14.4" x14ac:dyDescent="0.3">
      <c r="A31" s="2" t="s">
        <v>106</v>
      </c>
      <c r="B31" s="3" t="s">
        <v>107</v>
      </c>
      <c r="C31" s="105" t="s">
        <v>108</v>
      </c>
      <c r="D31" s="103"/>
      <c r="E31" s="3" t="s">
        <v>69</v>
      </c>
      <c r="F31" s="21">
        <v>660</v>
      </c>
      <c r="G31" s="56">
        <v>0</v>
      </c>
      <c r="H31" s="21">
        <f>ROUND(F31*AO31,2)</f>
        <v>0</v>
      </c>
      <c r="I31" s="21">
        <f>ROUND(F31*AP31,2)</f>
        <v>0</v>
      </c>
      <c r="J31" s="21">
        <f>ROUND(F31*G31,2)</f>
        <v>0</v>
      </c>
      <c r="K31" s="60"/>
      <c r="Z31" s="21">
        <f>ROUND(IF(AQ31="5",BJ31,0),2)</f>
        <v>0</v>
      </c>
      <c r="AB31" s="21">
        <f>ROUND(IF(AQ31="1",BH31,0),2)</f>
        <v>0</v>
      </c>
      <c r="AC31" s="21">
        <f>ROUND(IF(AQ31="1",BI31,0),2)</f>
        <v>0</v>
      </c>
      <c r="AD31" s="21">
        <f>ROUND(IF(AQ31="7",BH31,0),2)</f>
        <v>0</v>
      </c>
      <c r="AE31" s="21">
        <f>ROUND(IF(AQ31="7",BI31,0),2)</f>
        <v>0</v>
      </c>
      <c r="AF31" s="21">
        <f>ROUND(IF(AQ31="2",BH31,0),2)</f>
        <v>0</v>
      </c>
      <c r="AG31" s="21">
        <f>ROUND(IF(AQ31="2",BI31,0),2)</f>
        <v>0</v>
      </c>
      <c r="AH31" s="21">
        <f>ROUND(IF(AQ31="0",BJ31,0),2)</f>
        <v>0</v>
      </c>
      <c r="AI31" s="9" t="s">
        <v>47</v>
      </c>
      <c r="AJ31" s="21">
        <f>IF(AN31=0,J31,0)</f>
        <v>0</v>
      </c>
      <c r="AK31" s="21">
        <f>IF(AN31=12,J31,0)</f>
        <v>0</v>
      </c>
      <c r="AL31" s="21">
        <f>IF(AN31=21,J31,0)</f>
        <v>0</v>
      </c>
      <c r="AN31" s="21">
        <v>21</v>
      </c>
      <c r="AO31" s="21">
        <f>G31*0</f>
        <v>0</v>
      </c>
      <c r="AP31" s="21">
        <f>G31*(1-0)</f>
        <v>0</v>
      </c>
      <c r="AQ31" s="22" t="s">
        <v>50</v>
      </c>
      <c r="AV31" s="21">
        <f>ROUND(AW31+AX31,2)</f>
        <v>0</v>
      </c>
      <c r="AW31" s="21">
        <f>ROUND(F31*AO31,2)</f>
        <v>0</v>
      </c>
      <c r="AX31" s="21">
        <f>ROUND(F31*AP31,2)</f>
        <v>0</v>
      </c>
      <c r="AY31" s="22" t="s">
        <v>99</v>
      </c>
      <c r="AZ31" s="22" t="s">
        <v>100</v>
      </c>
      <c r="BA31" s="9" t="s">
        <v>56</v>
      </c>
      <c r="BC31" s="21">
        <f>AW31+AX31</f>
        <v>0</v>
      </c>
      <c r="BD31" s="21">
        <f>G31/(100-BE31)*100</f>
        <v>0</v>
      </c>
      <c r="BE31" s="21">
        <v>0</v>
      </c>
      <c r="BF31" s="21">
        <f>31</f>
        <v>31</v>
      </c>
      <c r="BH31" s="21">
        <f>F31*AO31</f>
        <v>0</v>
      </c>
      <c r="BI31" s="21">
        <f>F31*AP31</f>
        <v>0</v>
      </c>
      <c r="BJ31" s="21">
        <f>F31*G31</f>
        <v>0</v>
      </c>
      <c r="BK31" s="22" t="s">
        <v>57</v>
      </c>
      <c r="BL31" s="21">
        <v>94</v>
      </c>
      <c r="BW31" s="21">
        <v>21</v>
      </c>
      <c r="BX31" s="4" t="s">
        <v>108</v>
      </c>
    </row>
    <row r="32" spans="1:76" ht="14.4" x14ac:dyDescent="0.3">
      <c r="A32" s="26" t="s">
        <v>47</v>
      </c>
      <c r="B32" s="27" t="s">
        <v>109</v>
      </c>
      <c r="C32" s="109" t="s">
        <v>110</v>
      </c>
      <c r="D32" s="110"/>
      <c r="E32" s="28" t="s">
        <v>17</v>
      </c>
      <c r="F32" s="28" t="s">
        <v>17</v>
      </c>
      <c r="G32" s="28" t="s">
        <v>17</v>
      </c>
      <c r="H32" s="1">
        <f>ROUND(SUM(H33:H37),2)</f>
        <v>0</v>
      </c>
      <c r="I32" s="1">
        <f>ROUND(SUM(I33:I37),2)</f>
        <v>0</v>
      </c>
      <c r="J32" s="1">
        <f>ROUND(SUM(J33:J37),2)</f>
        <v>0</v>
      </c>
      <c r="K32" s="61" t="s">
        <v>47</v>
      </c>
      <c r="AI32" s="9" t="s">
        <v>47</v>
      </c>
      <c r="AS32" s="1">
        <f>SUM(AJ33:AJ37)</f>
        <v>0</v>
      </c>
      <c r="AT32" s="1">
        <f>SUM(AK33:AK37)</f>
        <v>0</v>
      </c>
      <c r="AU32" s="1">
        <f>SUM(AL33:AL37)</f>
        <v>0</v>
      </c>
    </row>
    <row r="33" spans="1:76" ht="14.4" x14ac:dyDescent="0.3">
      <c r="A33" s="2" t="s">
        <v>111</v>
      </c>
      <c r="B33" s="3" t="s">
        <v>112</v>
      </c>
      <c r="C33" s="105" t="s">
        <v>113</v>
      </c>
      <c r="D33" s="103"/>
      <c r="E33" s="3" t="s">
        <v>53</v>
      </c>
      <c r="F33" s="21">
        <v>84.6</v>
      </c>
      <c r="G33" s="56">
        <v>0</v>
      </c>
      <c r="H33" s="21">
        <f>ROUND(F33*AO33,2)</f>
        <v>0</v>
      </c>
      <c r="I33" s="21">
        <f>ROUND(F33*AP33,2)</f>
        <v>0</v>
      </c>
      <c r="J33" s="21">
        <f>ROUND(F33*G33,2)</f>
        <v>0</v>
      </c>
      <c r="K33" s="60"/>
      <c r="Z33" s="21">
        <f>ROUND(IF(AQ33="5",BJ33,0),2)</f>
        <v>0</v>
      </c>
      <c r="AB33" s="21">
        <f>ROUND(IF(AQ33="1",BH33,0),2)</f>
        <v>0</v>
      </c>
      <c r="AC33" s="21">
        <f>ROUND(IF(AQ33="1",BI33,0),2)</f>
        <v>0</v>
      </c>
      <c r="AD33" s="21">
        <f>ROUND(IF(AQ33="7",BH33,0),2)</f>
        <v>0</v>
      </c>
      <c r="AE33" s="21">
        <f>ROUND(IF(AQ33="7",BI33,0),2)</f>
        <v>0</v>
      </c>
      <c r="AF33" s="21">
        <f>ROUND(IF(AQ33="2",BH33,0),2)</f>
        <v>0</v>
      </c>
      <c r="AG33" s="21">
        <f>ROUND(IF(AQ33="2",BI33,0),2)</f>
        <v>0</v>
      </c>
      <c r="AH33" s="21">
        <f>ROUND(IF(AQ33="0",BJ33,0),2)</f>
        <v>0</v>
      </c>
      <c r="AI33" s="9" t="s">
        <v>47</v>
      </c>
      <c r="AJ33" s="21">
        <f>IF(AN33=0,J33,0)</f>
        <v>0</v>
      </c>
      <c r="AK33" s="21">
        <f>IF(AN33=12,J33,0)</f>
        <v>0</v>
      </c>
      <c r="AL33" s="21">
        <f>IF(AN33=21,J33,0)</f>
        <v>0</v>
      </c>
      <c r="AN33" s="21">
        <v>21</v>
      </c>
      <c r="AO33" s="21">
        <f>G33*0</f>
        <v>0</v>
      </c>
      <c r="AP33" s="21">
        <f>G33*(1-0)</f>
        <v>0</v>
      </c>
      <c r="AQ33" s="22" t="s">
        <v>50</v>
      </c>
      <c r="AV33" s="21">
        <f>ROUND(AW33+AX33,2)</f>
        <v>0</v>
      </c>
      <c r="AW33" s="21">
        <f>ROUND(F33*AO33,2)</f>
        <v>0</v>
      </c>
      <c r="AX33" s="21">
        <f>ROUND(F33*AP33,2)</f>
        <v>0</v>
      </c>
      <c r="AY33" s="22" t="s">
        <v>114</v>
      </c>
      <c r="AZ33" s="22" t="s">
        <v>100</v>
      </c>
      <c r="BA33" s="9" t="s">
        <v>56</v>
      </c>
      <c r="BC33" s="21">
        <f>AW33+AX33</f>
        <v>0</v>
      </c>
      <c r="BD33" s="21">
        <f>G33/(100-BE33)*100</f>
        <v>0</v>
      </c>
      <c r="BE33" s="21">
        <v>0</v>
      </c>
      <c r="BF33" s="21">
        <f>33</f>
        <v>33</v>
      </c>
      <c r="BH33" s="21">
        <f>F33*AO33</f>
        <v>0</v>
      </c>
      <c r="BI33" s="21">
        <f>F33*AP33</f>
        <v>0</v>
      </c>
      <c r="BJ33" s="21">
        <f>F33*G33</f>
        <v>0</v>
      </c>
      <c r="BK33" s="22" t="s">
        <v>57</v>
      </c>
      <c r="BL33" s="21">
        <v>96</v>
      </c>
      <c r="BW33" s="21">
        <v>21</v>
      </c>
      <c r="BX33" s="4" t="s">
        <v>113</v>
      </c>
    </row>
    <row r="34" spans="1:76" ht="16.5" customHeight="1" x14ac:dyDescent="0.3">
      <c r="A34" s="23"/>
      <c r="B34" s="24" t="s">
        <v>58</v>
      </c>
      <c r="C34" s="106" t="s">
        <v>115</v>
      </c>
      <c r="D34" s="107"/>
      <c r="E34" s="107"/>
      <c r="F34" s="107"/>
      <c r="G34" s="107"/>
      <c r="H34" s="107"/>
      <c r="I34" s="107"/>
      <c r="J34" s="107"/>
      <c r="K34" s="120"/>
      <c r="BX34" s="25" t="s">
        <v>115</v>
      </c>
    </row>
    <row r="35" spans="1:76" ht="14.4" x14ac:dyDescent="0.3">
      <c r="A35" s="2" t="s">
        <v>116</v>
      </c>
      <c r="B35" s="3" t="s">
        <v>117</v>
      </c>
      <c r="C35" s="105" t="s">
        <v>118</v>
      </c>
      <c r="D35" s="103"/>
      <c r="E35" s="3" t="s">
        <v>53</v>
      </c>
      <c r="F35" s="21">
        <v>266.2</v>
      </c>
      <c r="G35" s="56">
        <v>0</v>
      </c>
      <c r="H35" s="21">
        <f>ROUND(F35*AO35,2)</f>
        <v>0</v>
      </c>
      <c r="I35" s="21">
        <f>ROUND(F35*AP35,2)</f>
        <v>0</v>
      </c>
      <c r="J35" s="21">
        <f>ROUND(F35*G35,2)</f>
        <v>0</v>
      </c>
      <c r="K35" s="60"/>
      <c r="Z35" s="21">
        <f>ROUND(IF(AQ35="5",BJ35,0),2)</f>
        <v>0</v>
      </c>
      <c r="AB35" s="21">
        <f>ROUND(IF(AQ35="1",BH35,0),2)</f>
        <v>0</v>
      </c>
      <c r="AC35" s="21">
        <f>ROUND(IF(AQ35="1",BI35,0),2)</f>
        <v>0</v>
      </c>
      <c r="AD35" s="21">
        <f>ROUND(IF(AQ35="7",BH35,0),2)</f>
        <v>0</v>
      </c>
      <c r="AE35" s="21">
        <f>ROUND(IF(AQ35="7",BI35,0),2)</f>
        <v>0</v>
      </c>
      <c r="AF35" s="21">
        <f>ROUND(IF(AQ35="2",BH35,0),2)</f>
        <v>0</v>
      </c>
      <c r="AG35" s="21">
        <f>ROUND(IF(AQ35="2",BI35,0),2)</f>
        <v>0</v>
      </c>
      <c r="AH35" s="21">
        <f>ROUND(IF(AQ35="0",BJ35,0),2)</f>
        <v>0</v>
      </c>
      <c r="AI35" s="9" t="s">
        <v>47</v>
      </c>
      <c r="AJ35" s="21">
        <f>IF(AN35=0,J35,0)</f>
        <v>0</v>
      </c>
      <c r="AK35" s="21">
        <f>IF(AN35=12,J35,0)</f>
        <v>0</v>
      </c>
      <c r="AL35" s="21">
        <f>IF(AN35=21,J35,0)</f>
        <v>0</v>
      </c>
      <c r="AN35" s="21">
        <v>21</v>
      </c>
      <c r="AO35" s="21">
        <f>G35*0</f>
        <v>0</v>
      </c>
      <c r="AP35" s="21">
        <f>G35*(1-0)</f>
        <v>0</v>
      </c>
      <c r="AQ35" s="22" t="s">
        <v>50</v>
      </c>
      <c r="AV35" s="21">
        <f>ROUND(AW35+AX35,2)</f>
        <v>0</v>
      </c>
      <c r="AW35" s="21">
        <f>ROUND(F35*AO35,2)</f>
        <v>0</v>
      </c>
      <c r="AX35" s="21">
        <f>ROUND(F35*AP35,2)</f>
        <v>0</v>
      </c>
      <c r="AY35" s="22" t="s">
        <v>114</v>
      </c>
      <c r="AZ35" s="22" t="s">
        <v>100</v>
      </c>
      <c r="BA35" s="9" t="s">
        <v>56</v>
      </c>
      <c r="BC35" s="21">
        <f>AW35+AX35</f>
        <v>0</v>
      </c>
      <c r="BD35" s="21">
        <f>G35/(100-BE35)*100</f>
        <v>0</v>
      </c>
      <c r="BE35" s="21">
        <v>0</v>
      </c>
      <c r="BF35" s="21">
        <f>35</f>
        <v>35</v>
      </c>
      <c r="BH35" s="21">
        <f>F35*AO35</f>
        <v>0</v>
      </c>
      <c r="BI35" s="21">
        <f>F35*AP35</f>
        <v>0</v>
      </c>
      <c r="BJ35" s="21">
        <f>F35*G35</f>
        <v>0</v>
      </c>
      <c r="BK35" s="22" t="s">
        <v>57</v>
      </c>
      <c r="BL35" s="21">
        <v>96</v>
      </c>
      <c r="BW35" s="21">
        <v>21</v>
      </c>
      <c r="BX35" s="4" t="s">
        <v>118</v>
      </c>
    </row>
    <row r="36" spans="1:76" ht="26.4" x14ac:dyDescent="0.3">
      <c r="A36" s="23"/>
      <c r="B36" s="24" t="s">
        <v>58</v>
      </c>
      <c r="C36" s="106" t="s">
        <v>115</v>
      </c>
      <c r="D36" s="107"/>
      <c r="E36" s="107"/>
      <c r="F36" s="107"/>
      <c r="G36" s="107"/>
      <c r="H36" s="107"/>
      <c r="I36" s="107"/>
      <c r="J36" s="107"/>
      <c r="K36" s="120"/>
      <c r="BX36" s="25" t="s">
        <v>115</v>
      </c>
    </row>
    <row r="37" spans="1:76" ht="14.4" x14ac:dyDescent="0.3">
      <c r="A37" s="2" t="s">
        <v>119</v>
      </c>
      <c r="B37" s="3" t="s">
        <v>117</v>
      </c>
      <c r="C37" s="105" t="s">
        <v>120</v>
      </c>
      <c r="D37" s="103"/>
      <c r="E37" s="3" t="s">
        <v>53</v>
      </c>
      <c r="F37" s="21">
        <v>50</v>
      </c>
      <c r="G37" s="56">
        <v>0</v>
      </c>
      <c r="H37" s="21">
        <f>ROUND(F37*AO37,2)</f>
        <v>0</v>
      </c>
      <c r="I37" s="21">
        <f>ROUND(F37*AP37,2)</f>
        <v>0</v>
      </c>
      <c r="J37" s="21">
        <f>ROUND(F37*G37,2)</f>
        <v>0</v>
      </c>
      <c r="K37" s="60"/>
      <c r="Z37" s="21">
        <f>ROUND(IF(AQ37="5",BJ37,0),2)</f>
        <v>0</v>
      </c>
      <c r="AB37" s="21">
        <f>ROUND(IF(AQ37="1",BH37,0),2)</f>
        <v>0</v>
      </c>
      <c r="AC37" s="21">
        <f>ROUND(IF(AQ37="1",BI37,0),2)</f>
        <v>0</v>
      </c>
      <c r="AD37" s="21">
        <f>ROUND(IF(AQ37="7",BH37,0),2)</f>
        <v>0</v>
      </c>
      <c r="AE37" s="21">
        <f>ROUND(IF(AQ37="7",BI37,0),2)</f>
        <v>0</v>
      </c>
      <c r="AF37" s="21">
        <f>ROUND(IF(AQ37="2",BH37,0),2)</f>
        <v>0</v>
      </c>
      <c r="AG37" s="21">
        <f>ROUND(IF(AQ37="2",BI37,0),2)</f>
        <v>0</v>
      </c>
      <c r="AH37" s="21">
        <f>ROUND(IF(AQ37="0",BJ37,0),2)</f>
        <v>0</v>
      </c>
      <c r="AI37" s="9" t="s">
        <v>47</v>
      </c>
      <c r="AJ37" s="21">
        <f>IF(AN37=0,J37,0)</f>
        <v>0</v>
      </c>
      <c r="AK37" s="21">
        <f>IF(AN37=12,J37,0)</f>
        <v>0</v>
      </c>
      <c r="AL37" s="21">
        <f>IF(AN37=21,J37,0)</f>
        <v>0</v>
      </c>
      <c r="AN37" s="21">
        <v>21</v>
      </c>
      <c r="AO37" s="21">
        <f>G37*0</f>
        <v>0</v>
      </c>
      <c r="AP37" s="21">
        <f>G37*(1-0)</f>
        <v>0</v>
      </c>
      <c r="AQ37" s="22" t="s">
        <v>50</v>
      </c>
      <c r="AV37" s="21">
        <f>ROUND(AW37+AX37,2)</f>
        <v>0</v>
      </c>
      <c r="AW37" s="21">
        <f>ROUND(F37*AO37,2)</f>
        <v>0</v>
      </c>
      <c r="AX37" s="21">
        <f>ROUND(F37*AP37,2)</f>
        <v>0</v>
      </c>
      <c r="AY37" s="22" t="s">
        <v>114</v>
      </c>
      <c r="AZ37" s="22" t="s">
        <v>100</v>
      </c>
      <c r="BA37" s="9" t="s">
        <v>56</v>
      </c>
      <c r="BC37" s="21">
        <f>AW37+AX37</f>
        <v>0</v>
      </c>
      <c r="BD37" s="21">
        <f>G37/(100-BE37)*100</f>
        <v>0</v>
      </c>
      <c r="BE37" s="21">
        <v>0</v>
      </c>
      <c r="BF37" s="21">
        <f>37</f>
        <v>37</v>
      </c>
      <c r="BH37" s="21">
        <f>F37*AO37</f>
        <v>0</v>
      </c>
      <c r="BI37" s="21">
        <f>F37*AP37</f>
        <v>0</v>
      </c>
      <c r="BJ37" s="21">
        <f>F37*G37</f>
        <v>0</v>
      </c>
      <c r="BK37" s="22" t="s">
        <v>57</v>
      </c>
      <c r="BL37" s="21">
        <v>96</v>
      </c>
      <c r="BW37" s="21">
        <v>21</v>
      </c>
      <c r="BX37" s="4" t="s">
        <v>120</v>
      </c>
    </row>
    <row r="38" spans="1:76" ht="26.4" x14ac:dyDescent="0.3">
      <c r="A38" s="23"/>
      <c r="B38" s="24" t="s">
        <v>58</v>
      </c>
      <c r="C38" s="106" t="s">
        <v>115</v>
      </c>
      <c r="D38" s="107"/>
      <c r="E38" s="107"/>
      <c r="F38" s="107"/>
      <c r="G38" s="107"/>
      <c r="H38" s="107"/>
      <c r="I38" s="107"/>
      <c r="J38" s="107"/>
      <c r="K38" s="120"/>
      <c r="BX38" s="25" t="s">
        <v>115</v>
      </c>
    </row>
    <row r="39" spans="1:76" ht="14.4" x14ac:dyDescent="0.3">
      <c r="A39" s="26" t="s">
        <v>47</v>
      </c>
      <c r="B39" s="27" t="s">
        <v>121</v>
      </c>
      <c r="C39" s="109" t="s">
        <v>122</v>
      </c>
      <c r="D39" s="110"/>
      <c r="E39" s="28" t="s">
        <v>17</v>
      </c>
      <c r="F39" s="28" t="s">
        <v>17</v>
      </c>
      <c r="G39" s="28" t="s">
        <v>17</v>
      </c>
      <c r="H39" s="1">
        <f>ROUND(SUM(H40:H46),2)</f>
        <v>0</v>
      </c>
      <c r="I39" s="1">
        <f>ROUND(SUM(I40:I46),2)</f>
        <v>0</v>
      </c>
      <c r="J39" s="1">
        <f>ROUND(SUM(J40:J46),2)</f>
        <v>0</v>
      </c>
      <c r="K39" s="61" t="s">
        <v>47</v>
      </c>
      <c r="AI39" s="9" t="s">
        <v>47</v>
      </c>
      <c r="AS39" s="1">
        <f>SUM(AJ40:AJ46)</f>
        <v>0</v>
      </c>
      <c r="AT39" s="1">
        <f>SUM(AK40:AK46)</f>
        <v>0</v>
      </c>
      <c r="AU39" s="1">
        <f>SUM(AL40:AL46)</f>
        <v>0</v>
      </c>
    </row>
    <row r="40" spans="1:76" ht="14.4" x14ac:dyDescent="0.3">
      <c r="A40" s="2" t="s">
        <v>123</v>
      </c>
      <c r="B40" s="3" t="s">
        <v>124</v>
      </c>
      <c r="C40" s="105" t="s">
        <v>125</v>
      </c>
      <c r="D40" s="103"/>
      <c r="E40" s="3" t="s">
        <v>126</v>
      </c>
      <c r="F40" s="21">
        <v>800</v>
      </c>
      <c r="G40" s="56">
        <v>0</v>
      </c>
      <c r="H40" s="21">
        <f>ROUND(F40*AO40,2)</f>
        <v>0</v>
      </c>
      <c r="I40" s="21">
        <f>ROUND(F40*AP40,2)</f>
        <v>0</v>
      </c>
      <c r="J40" s="21">
        <f>ROUND(F40*G40,2)</f>
        <v>0</v>
      </c>
      <c r="K40" s="60"/>
      <c r="Z40" s="21">
        <f>ROUND(IF(AQ40="5",BJ40,0),2)</f>
        <v>0</v>
      </c>
      <c r="AB40" s="21">
        <f>ROUND(IF(AQ40="1",BH40,0),2)</f>
        <v>0</v>
      </c>
      <c r="AC40" s="21">
        <f>ROUND(IF(AQ40="1",BI40,0),2)</f>
        <v>0</v>
      </c>
      <c r="AD40" s="21">
        <f>ROUND(IF(AQ40="7",BH40,0),2)</f>
        <v>0</v>
      </c>
      <c r="AE40" s="21">
        <f>ROUND(IF(AQ40="7",BI40,0),2)</f>
        <v>0</v>
      </c>
      <c r="AF40" s="21">
        <f>ROUND(IF(AQ40="2",BH40,0),2)</f>
        <v>0</v>
      </c>
      <c r="AG40" s="21">
        <f>ROUND(IF(AQ40="2",BI40,0),2)</f>
        <v>0</v>
      </c>
      <c r="AH40" s="21">
        <f>ROUND(IF(AQ40="0",BJ40,0),2)</f>
        <v>0</v>
      </c>
      <c r="AI40" s="9" t="s">
        <v>47</v>
      </c>
      <c r="AJ40" s="21">
        <f>IF(AN40=0,J40,0)</f>
        <v>0</v>
      </c>
      <c r="AK40" s="21">
        <f>IF(AN40=12,J40,0)</f>
        <v>0</v>
      </c>
      <c r="AL40" s="21">
        <f>IF(AN40=21,J40,0)</f>
        <v>0</v>
      </c>
      <c r="AN40" s="21">
        <v>21</v>
      </c>
      <c r="AO40" s="21">
        <f>G40*0</f>
        <v>0</v>
      </c>
      <c r="AP40" s="21">
        <f>G40*(1-0)</f>
        <v>0</v>
      </c>
      <c r="AQ40" s="22" t="s">
        <v>50</v>
      </c>
      <c r="AV40" s="21">
        <f>ROUND(AW40+AX40,2)</f>
        <v>0</v>
      </c>
      <c r="AW40" s="21">
        <f>ROUND(F40*AO40,2)</f>
        <v>0</v>
      </c>
      <c r="AX40" s="21">
        <f>ROUND(F40*AP40,2)</f>
        <v>0</v>
      </c>
      <c r="AY40" s="22" t="s">
        <v>127</v>
      </c>
      <c r="AZ40" s="22" t="s">
        <v>100</v>
      </c>
      <c r="BA40" s="9" t="s">
        <v>56</v>
      </c>
      <c r="BC40" s="21">
        <f>AW40+AX40</f>
        <v>0</v>
      </c>
      <c r="BD40" s="21">
        <f>G40/(100-BE40)*100</f>
        <v>0</v>
      </c>
      <c r="BE40" s="21">
        <v>0</v>
      </c>
      <c r="BF40" s="21">
        <f>40</f>
        <v>40</v>
      </c>
      <c r="BH40" s="21">
        <f>F40*AO40</f>
        <v>0</v>
      </c>
      <c r="BI40" s="21">
        <f>F40*AP40</f>
        <v>0</v>
      </c>
      <c r="BJ40" s="21">
        <f>F40*G40</f>
        <v>0</v>
      </c>
      <c r="BK40" s="22" t="s">
        <v>57</v>
      </c>
      <c r="BL40" s="21">
        <v>97</v>
      </c>
      <c r="BW40" s="21">
        <v>21</v>
      </c>
      <c r="BX40" s="4" t="s">
        <v>125</v>
      </c>
    </row>
    <row r="41" spans="1:76" ht="16.5" customHeight="1" x14ac:dyDescent="0.3">
      <c r="A41" s="23"/>
      <c r="B41" s="24" t="s">
        <v>58</v>
      </c>
      <c r="C41" s="106" t="s">
        <v>128</v>
      </c>
      <c r="D41" s="107"/>
      <c r="E41" s="107"/>
      <c r="F41" s="107"/>
      <c r="G41" s="107"/>
      <c r="H41" s="107"/>
      <c r="I41" s="107"/>
      <c r="J41" s="107"/>
      <c r="K41" s="120"/>
      <c r="BX41" s="25" t="s">
        <v>128</v>
      </c>
    </row>
    <row r="42" spans="1:76" ht="14.4" x14ac:dyDescent="0.3">
      <c r="A42" s="2" t="s">
        <v>129</v>
      </c>
      <c r="B42" s="3" t="s">
        <v>124</v>
      </c>
      <c r="C42" s="105" t="s">
        <v>130</v>
      </c>
      <c r="D42" s="103"/>
      <c r="E42" s="3" t="s">
        <v>126</v>
      </c>
      <c r="F42" s="21">
        <v>1400</v>
      </c>
      <c r="G42" s="56">
        <v>0</v>
      </c>
      <c r="H42" s="21">
        <f>ROUND(F42*AO42,2)</f>
        <v>0</v>
      </c>
      <c r="I42" s="21">
        <f>ROUND(F42*AP42,2)</f>
        <v>0</v>
      </c>
      <c r="J42" s="21">
        <f>ROUND(F42*G42,2)</f>
        <v>0</v>
      </c>
      <c r="K42" s="60"/>
      <c r="Z42" s="21">
        <f>ROUND(IF(AQ42="5",BJ42,0),2)</f>
        <v>0</v>
      </c>
      <c r="AB42" s="21">
        <f>ROUND(IF(AQ42="1",BH42,0),2)</f>
        <v>0</v>
      </c>
      <c r="AC42" s="21">
        <f>ROUND(IF(AQ42="1",BI42,0),2)</f>
        <v>0</v>
      </c>
      <c r="AD42" s="21">
        <f>ROUND(IF(AQ42="7",BH42,0),2)</f>
        <v>0</v>
      </c>
      <c r="AE42" s="21">
        <f>ROUND(IF(AQ42="7",BI42,0),2)</f>
        <v>0</v>
      </c>
      <c r="AF42" s="21">
        <f>ROUND(IF(AQ42="2",BH42,0),2)</f>
        <v>0</v>
      </c>
      <c r="AG42" s="21">
        <f>ROUND(IF(AQ42="2",BI42,0),2)</f>
        <v>0</v>
      </c>
      <c r="AH42" s="21">
        <f>ROUND(IF(AQ42="0",BJ42,0),2)</f>
        <v>0</v>
      </c>
      <c r="AI42" s="9" t="s">
        <v>47</v>
      </c>
      <c r="AJ42" s="21">
        <f>IF(AN42=0,J42,0)</f>
        <v>0</v>
      </c>
      <c r="AK42" s="21">
        <f>IF(AN42=12,J42,0)</f>
        <v>0</v>
      </c>
      <c r="AL42" s="21">
        <f>IF(AN42=21,J42,0)</f>
        <v>0</v>
      </c>
      <c r="AN42" s="21">
        <v>21</v>
      </c>
      <c r="AO42" s="21">
        <f>G42*0</f>
        <v>0</v>
      </c>
      <c r="AP42" s="21">
        <f>G42*(1-0)</f>
        <v>0</v>
      </c>
      <c r="AQ42" s="22" t="s">
        <v>50</v>
      </c>
      <c r="AV42" s="21">
        <f>ROUND(AW42+AX42,2)</f>
        <v>0</v>
      </c>
      <c r="AW42" s="21">
        <f>ROUND(F42*AO42,2)</f>
        <v>0</v>
      </c>
      <c r="AX42" s="21">
        <f>ROUND(F42*AP42,2)</f>
        <v>0</v>
      </c>
      <c r="AY42" s="22" t="s">
        <v>127</v>
      </c>
      <c r="AZ42" s="22" t="s">
        <v>100</v>
      </c>
      <c r="BA42" s="9" t="s">
        <v>56</v>
      </c>
      <c r="BC42" s="21">
        <f>AW42+AX42</f>
        <v>0</v>
      </c>
      <c r="BD42" s="21">
        <f>G42/(100-BE42)*100</f>
        <v>0</v>
      </c>
      <c r="BE42" s="21">
        <v>0</v>
      </c>
      <c r="BF42" s="21">
        <f>42</f>
        <v>42</v>
      </c>
      <c r="BH42" s="21">
        <f>F42*AO42</f>
        <v>0</v>
      </c>
      <c r="BI42" s="21">
        <f>F42*AP42</f>
        <v>0</v>
      </c>
      <c r="BJ42" s="21">
        <f>F42*G42</f>
        <v>0</v>
      </c>
      <c r="BK42" s="22" t="s">
        <v>57</v>
      </c>
      <c r="BL42" s="21">
        <v>97</v>
      </c>
      <c r="BW42" s="21">
        <v>21</v>
      </c>
      <c r="BX42" s="4" t="s">
        <v>130</v>
      </c>
    </row>
    <row r="43" spans="1:76" ht="26.4" x14ac:dyDescent="0.3">
      <c r="A43" s="23"/>
      <c r="B43" s="24" t="s">
        <v>58</v>
      </c>
      <c r="C43" s="106" t="s">
        <v>128</v>
      </c>
      <c r="D43" s="107"/>
      <c r="E43" s="107"/>
      <c r="F43" s="107"/>
      <c r="G43" s="107"/>
      <c r="H43" s="107"/>
      <c r="I43" s="107"/>
      <c r="J43" s="107"/>
      <c r="K43" s="120"/>
      <c r="BX43" s="25" t="s">
        <v>128</v>
      </c>
    </row>
    <row r="44" spans="1:76" ht="14.4" x14ac:dyDescent="0.3">
      <c r="A44" s="2" t="s">
        <v>131</v>
      </c>
      <c r="B44" s="3" t="s">
        <v>132</v>
      </c>
      <c r="C44" s="105" t="s">
        <v>308</v>
      </c>
      <c r="D44" s="103"/>
      <c r="E44" s="3" t="s">
        <v>126</v>
      </c>
      <c r="F44" s="21">
        <v>2200</v>
      </c>
      <c r="G44" s="56">
        <v>0</v>
      </c>
      <c r="H44" s="21">
        <f>ROUND(F44*AO44,2)</f>
        <v>0</v>
      </c>
      <c r="I44" s="21">
        <f>ROUND(F44*AP44,2)</f>
        <v>0</v>
      </c>
      <c r="J44" s="21">
        <f>ROUND(F44*G44,2)</f>
        <v>0</v>
      </c>
      <c r="K44" s="60"/>
      <c r="Z44" s="21">
        <f>ROUND(IF(AQ44="5",BJ44,0),2)</f>
        <v>0</v>
      </c>
      <c r="AB44" s="21">
        <f>ROUND(IF(AQ44="1",BH44,0),2)</f>
        <v>0</v>
      </c>
      <c r="AC44" s="21">
        <f>ROUND(IF(AQ44="1",BI44,0),2)</f>
        <v>0</v>
      </c>
      <c r="AD44" s="21">
        <f>ROUND(IF(AQ44="7",BH44,0),2)</f>
        <v>0</v>
      </c>
      <c r="AE44" s="21">
        <f>ROUND(IF(AQ44="7",BI44,0),2)</f>
        <v>0</v>
      </c>
      <c r="AF44" s="21">
        <f>ROUND(IF(AQ44="2",BH44,0),2)</f>
        <v>0</v>
      </c>
      <c r="AG44" s="21">
        <f>ROUND(IF(AQ44="2",BI44,0),2)</f>
        <v>0</v>
      </c>
      <c r="AH44" s="21">
        <f>ROUND(IF(AQ44="0",BJ44,0),2)</f>
        <v>0</v>
      </c>
      <c r="AI44" s="9" t="s">
        <v>47</v>
      </c>
      <c r="AJ44" s="21">
        <f>IF(AN44=0,J44,0)</f>
        <v>0</v>
      </c>
      <c r="AK44" s="21">
        <f>IF(AN44=12,J44,0)</f>
        <v>0</v>
      </c>
      <c r="AL44" s="21">
        <f>IF(AN44=21,J44,0)</f>
        <v>0</v>
      </c>
      <c r="AN44" s="21">
        <v>21</v>
      </c>
      <c r="AO44" s="21">
        <f>G44*0</f>
        <v>0</v>
      </c>
      <c r="AP44" s="21">
        <f>G44*(1-0)</f>
        <v>0</v>
      </c>
      <c r="AQ44" s="22" t="s">
        <v>50</v>
      </c>
      <c r="AV44" s="21">
        <f>ROUND(AW44+AX44,2)</f>
        <v>0</v>
      </c>
      <c r="AW44" s="21">
        <f>ROUND(F44*AO44,2)</f>
        <v>0</v>
      </c>
      <c r="AX44" s="21">
        <f>ROUND(F44*AP44,2)</f>
        <v>0</v>
      </c>
      <c r="AY44" s="22" t="s">
        <v>127</v>
      </c>
      <c r="AZ44" s="22" t="s">
        <v>100</v>
      </c>
      <c r="BA44" s="9" t="s">
        <v>56</v>
      </c>
      <c r="BC44" s="21">
        <f>AW44+AX44</f>
        <v>0</v>
      </c>
      <c r="BD44" s="21">
        <f>G44/(100-BE44)*100</f>
        <v>0</v>
      </c>
      <c r="BE44" s="21">
        <v>0</v>
      </c>
      <c r="BF44" s="21">
        <f>44</f>
        <v>44</v>
      </c>
      <c r="BH44" s="21">
        <f>F44*AO44</f>
        <v>0</v>
      </c>
      <c r="BI44" s="21">
        <f>F44*AP44</f>
        <v>0</v>
      </c>
      <c r="BJ44" s="21">
        <f>F44*G44</f>
        <v>0</v>
      </c>
      <c r="BK44" s="22" t="s">
        <v>57</v>
      </c>
      <c r="BL44" s="21">
        <v>97</v>
      </c>
      <c r="BW44" s="21">
        <v>21</v>
      </c>
      <c r="BX44" s="4" t="s">
        <v>133</v>
      </c>
    </row>
    <row r="45" spans="1:76" ht="14.4" x14ac:dyDescent="0.3">
      <c r="A45" s="23"/>
      <c r="B45" s="24" t="s">
        <v>58</v>
      </c>
      <c r="C45" s="106" t="s">
        <v>307</v>
      </c>
      <c r="D45" s="107"/>
      <c r="E45" s="107"/>
      <c r="F45" s="107"/>
      <c r="G45" s="107"/>
      <c r="H45" s="107"/>
      <c r="I45" s="107"/>
      <c r="J45" s="107"/>
      <c r="K45" s="120"/>
      <c r="BX45" s="25" t="s">
        <v>134</v>
      </c>
    </row>
    <row r="46" spans="1:76" ht="14.4" x14ac:dyDescent="0.3">
      <c r="A46" s="2" t="s">
        <v>48</v>
      </c>
      <c r="B46" s="3" t="s">
        <v>135</v>
      </c>
      <c r="C46" s="99" t="s">
        <v>284</v>
      </c>
      <c r="D46" s="136"/>
      <c r="E46" s="67" t="s">
        <v>183</v>
      </c>
      <c r="F46" s="68">
        <v>1</v>
      </c>
      <c r="G46" s="56">
        <v>0</v>
      </c>
      <c r="H46" s="21">
        <f>ROUND(F46*AO46,2)</f>
        <v>0</v>
      </c>
      <c r="I46" s="21">
        <f>ROUND(F46*AP46,2)</f>
        <v>0</v>
      </c>
      <c r="J46" s="21">
        <f>ROUND(F46*G46,2)</f>
        <v>0</v>
      </c>
      <c r="K46" s="60"/>
      <c r="Z46" s="21">
        <f>ROUND(IF(AQ46="5",BJ46,0),2)</f>
        <v>0</v>
      </c>
      <c r="AB46" s="21">
        <f>ROUND(IF(AQ46="1",BH46,0),2)</f>
        <v>0</v>
      </c>
      <c r="AC46" s="21">
        <f>ROUND(IF(AQ46="1",BI46,0),2)</f>
        <v>0</v>
      </c>
      <c r="AD46" s="21">
        <f>ROUND(IF(AQ46="7",BH46,0),2)</f>
        <v>0</v>
      </c>
      <c r="AE46" s="21">
        <f>ROUND(IF(AQ46="7",BI46,0),2)</f>
        <v>0</v>
      </c>
      <c r="AF46" s="21">
        <f>ROUND(IF(AQ46="2",BH46,0),2)</f>
        <v>0</v>
      </c>
      <c r="AG46" s="21">
        <f>ROUND(IF(AQ46="2",BI46,0),2)</f>
        <v>0</v>
      </c>
      <c r="AH46" s="21">
        <f>ROUND(IF(AQ46="0",BJ46,0),2)</f>
        <v>0</v>
      </c>
      <c r="AI46" s="9" t="s">
        <v>47</v>
      </c>
      <c r="AJ46" s="21">
        <f>IF(AN46=0,J46,0)</f>
        <v>0</v>
      </c>
      <c r="AK46" s="21">
        <f>IF(AN46=12,J46,0)</f>
        <v>0</v>
      </c>
      <c r="AL46" s="21">
        <f>IF(AN46=21,J46,0)</f>
        <v>0</v>
      </c>
      <c r="AN46" s="21">
        <v>21</v>
      </c>
      <c r="AO46" s="21">
        <f>G46*0</f>
        <v>0</v>
      </c>
      <c r="AP46" s="21">
        <f>G46*(1-0)</f>
        <v>0</v>
      </c>
      <c r="AQ46" s="22" t="s">
        <v>50</v>
      </c>
      <c r="AV46" s="21">
        <f>ROUND(AW46+AX46,2)</f>
        <v>0</v>
      </c>
      <c r="AW46" s="21">
        <f>ROUND(F46*AO46,2)</f>
        <v>0</v>
      </c>
      <c r="AX46" s="21">
        <f>ROUND(F46*AP46,2)</f>
        <v>0</v>
      </c>
      <c r="AY46" s="22" t="s">
        <v>127</v>
      </c>
      <c r="AZ46" s="22" t="s">
        <v>100</v>
      </c>
      <c r="BA46" s="9" t="s">
        <v>56</v>
      </c>
      <c r="BC46" s="21">
        <f>AW46+AX46</f>
        <v>0</v>
      </c>
      <c r="BD46" s="21">
        <f>G46/(100-BE46)*100</f>
        <v>0</v>
      </c>
      <c r="BE46" s="21">
        <v>0</v>
      </c>
      <c r="BF46" s="21">
        <f>46</f>
        <v>46</v>
      </c>
      <c r="BH46" s="21">
        <f>F46*AO46</f>
        <v>0</v>
      </c>
      <c r="BI46" s="21">
        <f>F46*AP46</f>
        <v>0</v>
      </c>
      <c r="BJ46" s="21">
        <f>F46*G46</f>
        <v>0</v>
      </c>
      <c r="BK46" s="22" t="s">
        <v>57</v>
      </c>
      <c r="BL46" s="21">
        <v>97</v>
      </c>
      <c r="BW46" s="21">
        <v>21</v>
      </c>
      <c r="BX46" s="4" t="s">
        <v>136</v>
      </c>
    </row>
    <row r="47" spans="1:76" ht="14.4" x14ac:dyDescent="0.3">
      <c r="A47" s="26" t="s">
        <v>47</v>
      </c>
      <c r="B47" s="27" t="s">
        <v>137</v>
      </c>
      <c r="C47" s="109" t="s">
        <v>138</v>
      </c>
      <c r="D47" s="110"/>
      <c r="E47" s="28" t="s">
        <v>17</v>
      </c>
      <c r="F47" s="28" t="s">
        <v>17</v>
      </c>
      <c r="G47" s="28" t="s">
        <v>17</v>
      </c>
      <c r="H47" s="1">
        <f>ROUND(SUM(H48:H52),2)</f>
        <v>0</v>
      </c>
      <c r="I47" s="1">
        <f>ROUND(SUM(I48:I52),2)</f>
        <v>0</v>
      </c>
      <c r="J47" s="1">
        <f>ROUND(SUM(J48:J52),2)</f>
        <v>0</v>
      </c>
      <c r="K47" s="61" t="s">
        <v>47</v>
      </c>
      <c r="AI47" s="9" t="s">
        <v>47</v>
      </c>
      <c r="AS47" s="1">
        <f>SUM(AJ48:AJ52)</f>
        <v>0</v>
      </c>
      <c r="AT47" s="1">
        <f>SUM(AK48:AK52)</f>
        <v>0</v>
      </c>
      <c r="AU47" s="1">
        <f>SUM(AL48:AL52)</f>
        <v>0</v>
      </c>
    </row>
    <row r="48" spans="1:76" ht="14.4" x14ac:dyDescent="0.3">
      <c r="A48" s="2">
        <v>18</v>
      </c>
      <c r="B48" s="3" t="s">
        <v>139</v>
      </c>
      <c r="C48" s="105" t="s">
        <v>140</v>
      </c>
      <c r="D48" s="103"/>
      <c r="E48" s="3" t="s">
        <v>53</v>
      </c>
      <c r="F48" s="21">
        <v>10290</v>
      </c>
      <c r="G48" s="56">
        <v>0</v>
      </c>
      <c r="H48" s="21">
        <f>ROUND(F48*AO48,2)</f>
        <v>0</v>
      </c>
      <c r="I48" s="21">
        <f>ROUND(F48*AP48,2)</f>
        <v>0</v>
      </c>
      <c r="J48" s="21">
        <f>ROUND(F48*G48,2)</f>
        <v>0</v>
      </c>
      <c r="K48" s="60"/>
      <c r="Z48" s="21">
        <f>ROUND(IF(AQ48="5",BJ48,0),2)</f>
        <v>0</v>
      </c>
      <c r="AB48" s="21">
        <f>ROUND(IF(AQ48="1",BH48,0),2)</f>
        <v>0</v>
      </c>
      <c r="AC48" s="21">
        <f>ROUND(IF(AQ48="1",BI48,0),2)</f>
        <v>0</v>
      </c>
      <c r="AD48" s="21">
        <f>ROUND(IF(AQ48="7",BH48,0),2)</f>
        <v>0</v>
      </c>
      <c r="AE48" s="21">
        <f>ROUND(IF(AQ48="7",BI48,0),2)</f>
        <v>0</v>
      </c>
      <c r="AF48" s="21">
        <f>ROUND(IF(AQ48="2",BH48,0),2)</f>
        <v>0</v>
      </c>
      <c r="AG48" s="21">
        <f>ROUND(IF(AQ48="2",BI48,0),2)</f>
        <v>0</v>
      </c>
      <c r="AH48" s="21">
        <f>ROUND(IF(AQ48="0",BJ48,0),2)</f>
        <v>0</v>
      </c>
      <c r="AI48" s="9" t="s">
        <v>47</v>
      </c>
      <c r="AJ48" s="21">
        <f>IF(AN48=0,J48,0)</f>
        <v>0</v>
      </c>
      <c r="AK48" s="21">
        <f>IF(AN48=12,J48,0)</f>
        <v>0</v>
      </c>
      <c r="AL48" s="21">
        <f>IF(AN48=21,J48,0)</f>
        <v>0</v>
      </c>
      <c r="AN48" s="21">
        <v>21</v>
      </c>
      <c r="AO48" s="21">
        <f>G48*0.039747201</f>
        <v>0</v>
      </c>
      <c r="AP48" s="21">
        <f>G48*(1-0.039747201)</f>
        <v>0</v>
      </c>
      <c r="AQ48" s="22" t="s">
        <v>50</v>
      </c>
      <c r="AV48" s="21">
        <f>ROUND(AW48+AX48,2)</f>
        <v>0</v>
      </c>
      <c r="AW48" s="21">
        <f>ROUND(F48*AO48,2)</f>
        <v>0</v>
      </c>
      <c r="AX48" s="21">
        <f>ROUND(F48*AP48,2)</f>
        <v>0</v>
      </c>
      <c r="AY48" s="22" t="s">
        <v>141</v>
      </c>
      <c r="AZ48" s="22" t="s">
        <v>100</v>
      </c>
      <c r="BA48" s="9" t="s">
        <v>56</v>
      </c>
      <c r="BC48" s="21">
        <f>AW48+AX48</f>
        <v>0</v>
      </c>
      <c r="BD48" s="21">
        <f>G48/(100-BE48)*100</f>
        <v>0</v>
      </c>
      <c r="BE48" s="21">
        <v>0</v>
      </c>
      <c r="BF48" s="21">
        <f>51</f>
        <v>51</v>
      </c>
      <c r="BH48" s="21">
        <f>F48*AO48</f>
        <v>0</v>
      </c>
      <c r="BI48" s="21">
        <f>F48*AP48</f>
        <v>0</v>
      </c>
      <c r="BJ48" s="21">
        <f>F48*G48</f>
        <v>0</v>
      </c>
      <c r="BK48" s="22" t="s">
        <v>57</v>
      </c>
      <c r="BL48" s="21">
        <v>98</v>
      </c>
      <c r="BW48" s="21">
        <v>21</v>
      </c>
      <c r="BX48" s="4" t="s">
        <v>140</v>
      </c>
    </row>
    <row r="49" spans="1:76" ht="39.6" x14ac:dyDescent="0.3">
      <c r="A49" s="23"/>
      <c r="B49" s="24" t="s">
        <v>58</v>
      </c>
      <c r="C49" s="106" t="s">
        <v>329</v>
      </c>
      <c r="D49" s="107"/>
      <c r="E49" s="107"/>
      <c r="F49" s="107"/>
      <c r="G49" s="107"/>
      <c r="H49" s="107"/>
      <c r="I49" s="107"/>
      <c r="J49" s="107"/>
      <c r="K49" s="120"/>
      <c r="BX49" s="25" t="s">
        <v>142</v>
      </c>
    </row>
    <row r="50" spans="1:76" ht="14.4" x14ac:dyDescent="0.3">
      <c r="A50" s="2">
        <v>19</v>
      </c>
      <c r="B50" s="3" t="s">
        <v>143</v>
      </c>
      <c r="C50" s="105" t="s">
        <v>144</v>
      </c>
      <c r="D50" s="103"/>
      <c r="E50" s="3" t="s">
        <v>53</v>
      </c>
      <c r="F50" s="21">
        <v>4314</v>
      </c>
      <c r="G50" s="56">
        <v>0</v>
      </c>
      <c r="H50" s="21">
        <f>ROUND(F50*AO50,2)</f>
        <v>0</v>
      </c>
      <c r="I50" s="21">
        <f>ROUND(F50*AP50,2)</f>
        <v>0</v>
      </c>
      <c r="J50" s="21">
        <f>ROUND(F50*G50,2)</f>
        <v>0</v>
      </c>
      <c r="K50" s="60"/>
      <c r="Z50" s="21">
        <f>ROUND(IF(AQ50="5",BJ50,0),2)</f>
        <v>0</v>
      </c>
      <c r="AB50" s="21">
        <f>ROUND(IF(AQ50="1",BH50,0),2)</f>
        <v>0</v>
      </c>
      <c r="AC50" s="21">
        <f>ROUND(IF(AQ50="1",BI50,0),2)</f>
        <v>0</v>
      </c>
      <c r="AD50" s="21">
        <f>ROUND(IF(AQ50="7",BH50,0),2)</f>
        <v>0</v>
      </c>
      <c r="AE50" s="21">
        <f>ROUND(IF(AQ50="7",BI50,0),2)</f>
        <v>0</v>
      </c>
      <c r="AF50" s="21">
        <f>ROUND(IF(AQ50="2",BH50,0),2)</f>
        <v>0</v>
      </c>
      <c r="AG50" s="21">
        <f>ROUND(IF(AQ50="2",BI50,0),2)</f>
        <v>0</v>
      </c>
      <c r="AH50" s="21">
        <f>ROUND(IF(AQ50="0",BJ50,0),2)</f>
        <v>0</v>
      </c>
      <c r="AI50" s="9" t="s">
        <v>47</v>
      </c>
      <c r="AJ50" s="21">
        <f>IF(AN50=0,J50,0)</f>
        <v>0</v>
      </c>
      <c r="AK50" s="21">
        <f>IF(AN50=12,J50,0)</f>
        <v>0</v>
      </c>
      <c r="AL50" s="21">
        <f>IF(AN50=21,J50,0)</f>
        <v>0</v>
      </c>
      <c r="AN50" s="21">
        <v>21</v>
      </c>
      <c r="AO50" s="21">
        <f>G50*0</f>
        <v>0</v>
      </c>
      <c r="AP50" s="21">
        <f>G50*(1-0)</f>
        <v>0</v>
      </c>
      <c r="AQ50" s="22" t="s">
        <v>50</v>
      </c>
      <c r="AV50" s="21">
        <f>ROUND(AW50+AX50,2)</f>
        <v>0</v>
      </c>
      <c r="AW50" s="21">
        <f>ROUND(F50*AO50,2)</f>
        <v>0</v>
      </c>
      <c r="AX50" s="21">
        <f>ROUND(F50*AP50,2)</f>
        <v>0</v>
      </c>
      <c r="AY50" s="22" t="s">
        <v>141</v>
      </c>
      <c r="AZ50" s="22" t="s">
        <v>100</v>
      </c>
      <c r="BA50" s="9" t="s">
        <v>56</v>
      </c>
      <c r="BC50" s="21">
        <f>AW50+AX50</f>
        <v>0</v>
      </c>
      <c r="BD50" s="21">
        <f>G50/(100-BE50)*100</f>
        <v>0</v>
      </c>
      <c r="BE50" s="21">
        <v>0</v>
      </c>
      <c r="BF50" s="21">
        <f>53</f>
        <v>53</v>
      </c>
      <c r="BH50" s="21">
        <f>F50*AO50</f>
        <v>0</v>
      </c>
      <c r="BI50" s="21">
        <f>F50*AP50</f>
        <v>0</v>
      </c>
      <c r="BJ50" s="21">
        <f>F50*G50</f>
        <v>0</v>
      </c>
      <c r="BK50" s="22" t="s">
        <v>57</v>
      </c>
      <c r="BL50" s="21">
        <v>98</v>
      </c>
      <c r="BW50" s="21">
        <v>21</v>
      </c>
      <c r="BX50" s="4" t="s">
        <v>144</v>
      </c>
    </row>
    <row r="51" spans="1:76" ht="39.6" x14ac:dyDescent="0.3">
      <c r="A51" s="23"/>
      <c r="B51" s="24" t="s">
        <v>58</v>
      </c>
      <c r="C51" s="106" t="s">
        <v>145</v>
      </c>
      <c r="D51" s="107"/>
      <c r="E51" s="107"/>
      <c r="F51" s="107"/>
      <c r="G51" s="107"/>
      <c r="H51" s="107"/>
      <c r="I51" s="107"/>
      <c r="J51" s="107"/>
      <c r="K51" s="120"/>
      <c r="BX51" s="25" t="s">
        <v>145</v>
      </c>
    </row>
    <row r="52" spans="1:76" ht="14.4" x14ac:dyDescent="0.3">
      <c r="A52" s="2">
        <v>20</v>
      </c>
      <c r="B52" s="3" t="s">
        <v>146</v>
      </c>
      <c r="C52" s="105" t="s">
        <v>147</v>
      </c>
      <c r="D52" s="103"/>
      <c r="E52" s="3" t="s">
        <v>53</v>
      </c>
      <c r="F52" s="21">
        <v>262</v>
      </c>
      <c r="G52" s="56">
        <v>0</v>
      </c>
      <c r="H52" s="21">
        <f>ROUND(F52*AO52,2)</f>
        <v>0</v>
      </c>
      <c r="I52" s="21">
        <f>ROUND(F52*AP52,2)</f>
        <v>0</v>
      </c>
      <c r="J52" s="21">
        <f>ROUND(F52*G52,2)</f>
        <v>0</v>
      </c>
      <c r="K52" s="60"/>
      <c r="Z52" s="21">
        <f>ROUND(IF(AQ52="5",BJ52,0),2)</f>
        <v>0</v>
      </c>
      <c r="AB52" s="21">
        <f>ROUND(IF(AQ52="1",BH52,0),2)</f>
        <v>0</v>
      </c>
      <c r="AC52" s="21">
        <f>ROUND(IF(AQ52="1",BI52,0),2)</f>
        <v>0</v>
      </c>
      <c r="AD52" s="21">
        <f>ROUND(IF(AQ52="7",BH52,0),2)</f>
        <v>0</v>
      </c>
      <c r="AE52" s="21">
        <f>ROUND(IF(AQ52="7",BI52,0),2)</f>
        <v>0</v>
      </c>
      <c r="AF52" s="21">
        <f>ROUND(IF(AQ52="2",BH52,0),2)</f>
        <v>0</v>
      </c>
      <c r="AG52" s="21">
        <f>ROUND(IF(AQ52="2",BI52,0),2)</f>
        <v>0</v>
      </c>
      <c r="AH52" s="21">
        <f>ROUND(IF(AQ52="0",BJ52,0),2)</f>
        <v>0</v>
      </c>
      <c r="AI52" s="9" t="s">
        <v>47</v>
      </c>
      <c r="AJ52" s="21">
        <f>IF(AN52=0,J52,0)</f>
        <v>0</v>
      </c>
      <c r="AK52" s="21">
        <f>IF(AN52=12,J52,0)</f>
        <v>0</v>
      </c>
      <c r="AL52" s="21">
        <f>IF(AN52=21,J52,0)</f>
        <v>0</v>
      </c>
      <c r="AN52" s="21">
        <v>21</v>
      </c>
      <c r="AO52" s="21">
        <f>G52*0.045447404</f>
        <v>0</v>
      </c>
      <c r="AP52" s="21">
        <f>G52*(1-0.045447404)</f>
        <v>0</v>
      </c>
      <c r="AQ52" s="22" t="s">
        <v>50</v>
      </c>
      <c r="AV52" s="21">
        <f>ROUND(AW52+AX52,2)</f>
        <v>0</v>
      </c>
      <c r="AW52" s="21">
        <f>ROUND(F52*AO52,2)</f>
        <v>0</v>
      </c>
      <c r="AX52" s="21">
        <f>ROUND(F52*AP52,2)</f>
        <v>0</v>
      </c>
      <c r="AY52" s="22" t="s">
        <v>141</v>
      </c>
      <c r="AZ52" s="22" t="s">
        <v>100</v>
      </c>
      <c r="BA52" s="9" t="s">
        <v>56</v>
      </c>
      <c r="BC52" s="21">
        <f>AW52+AX52</f>
        <v>0</v>
      </c>
      <c r="BD52" s="21">
        <f>G52/(100-BE52)*100</f>
        <v>0</v>
      </c>
      <c r="BE52" s="21">
        <v>0</v>
      </c>
      <c r="BF52" s="21">
        <f>55</f>
        <v>55</v>
      </c>
      <c r="BH52" s="21">
        <f>F52*AO52</f>
        <v>0</v>
      </c>
      <c r="BI52" s="21">
        <f>F52*AP52</f>
        <v>0</v>
      </c>
      <c r="BJ52" s="21">
        <f>F52*G52</f>
        <v>0</v>
      </c>
      <c r="BK52" s="22" t="s">
        <v>57</v>
      </c>
      <c r="BL52" s="21">
        <v>98</v>
      </c>
      <c r="BW52" s="21">
        <v>21</v>
      </c>
      <c r="BX52" s="4" t="s">
        <v>147</v>
      </c>
    </row>
    <row r="53" spans="1:76" ht="14.4" x14ac:dyDescent="0.3">
      <c r="A53" s="26" t="s">
        <v>47</v>
      </c>
      <c r="B53" s="27" t="s">
        <v>148</v>
      </c>
      <c r="C53" s="109" t="s">
        <v>149</v>
      </c>
      <c r="D53" s="110"/>
      <c r="E53" s="28" t="s">
        <v>17</v>
      </c>
      <c r="F53" s="28" t="s">
        <v>17</v>
      </c>
      <c r="G53" s="28" t="s">
        <v>17</v>
      </c>
      <c r="H53" s="1">
        <f>ROUND(SUM(H54:H75),2)</f>
        <v>0</v>
      </c>
      <c r="I53" s="1">
        <f>ROUND(SUM(I54:I75),2)</f>
        <v>0</v>
      </c>
      <c r="J53" s="1">
        <f>ROUND(SUM(J54:J75),2)</f>
        <v>0</v>
      </c>
      <c r="K53" s="61" t="s">
        <v>47</v>
      </c>
      <c r="AI53" s="9" t="s">
        <v>47</v>
      </c>
      <c r="AS53" s="1">
        <f>SUM(AJ54:AJ75)</f>
        <v>0</v>
      </c>
      <c r="AT53" s="1">
        <f>SUM(AK54:AK75)</f>
        <v>0</v>
      </c>
      <c r="AU53" s="1">
        <f>SUM(AL54:AL75)</f>
        <v>0</v>
      </c>
    </row>
    <row r="54" spans="1:76" ht="14.4" x14ac:dyDescent="0.3">
      <c r="A54" s="2">
        <v>21</v>
      </c>
      <c r="B54" s="3" t="s">
        <v>150</v>
      </c>
      <c r="C54" s="121" t="s">
        <v>151</v>
      </c>
      <c r="D54" s="122"/>
      <c r="E54" s="67" t="s">
        <v>126</v>
      </c>
      <c r="F54" s="68">
        <v>1662</v>
      </c>
      <c r="G54" s="69">
        <v>0</v>
      </c>
      <c r="H54" s="68">
        <f>ROUND(F54*AO54,2)</f>
        <v>0</v>
      </c>
      <c r="I54" s="68">
        <f>ROUND(F54*AP54,2)</f>
        <v>0</v>
      </c>
      <c r="J54" s="68">
        <f>ROUND(F54*G54,2)</f>
        <v>0</v>
      </c>
      <c r="K54" s="75"/>
      <c r="Z54" s="21">
        <f>ROUND(IF(AQ54="5",BJ54,0),2)</f>
        <v>0</v>
      </c>
      <c r="AB54" s="21">
        <f>ROUND(IF(AQ54="1",BH54,0),2)</f>
        <v>0</v>
      </c>
      <c r="AC54" s="21">
        <f>ROUND(IF(AQ54="1",BI54,0),2)</f>
        <v>0</v>
      </c>
      <c r="AD54" s="21">
        <f>ROUND(IF(AQ54="7",BH54,0),2)</f>
        <v>0</v>
      </c>
      <c r="AE54" s="21">
        <f>ROUND(IF(AQ54="7",BI54,0),2)</f>
        <v>0</v>
      </c>
      <c r="AF54" s="21">
        <f>ROUND(IF(AQ54="2",BH54,0),2)</f>
        <v>0</v>
      </c>
      <c r="AG54" s="21">
        <f>ROUND(IF(AQ54="2",BI54,0),2)</f>
        <v>0</v>
      </c>
      <c r="AH54" s="21">
        <f>ROUND(IF(AQ54="0",BJ54,0),2)</f>
        <v>0</v>
      </c>
      <c r="AI54" s="9" t="s">
        <v>47</v>
      </c>
      <c r="AJ54" s="21">
        <f>IF(AN54=0,J54,0)</f>
        <v>0</v>
      </c>
      <c r="AK54" s="21">
        <f>IF(AN54=12,J54,0)</f>
        <v>0</v>
      </c>
      <c r="AL54" s="21">
        <f>IF(AN54=21,J54,0)</f>
        <v>0</v>
      </c>
      <c r="AN54" s="21">
        <v>21</v>
      </c>
      <c r="AO54" s="21">
        <f>G54*0</f>
        <v>0</v>
      </c>
      <c r="AP54" s="21">
        <f>G54*(1-0)</f>
        <v>0</v>
      </c>
      <c r="AQ54" s="22" t="s">
        <v>80</v>
      </c>
      <c r="AV54" s="21">
        <f>ROUND(AW54+AX54,2)</f>
        <v>0</v>
      </c>
      <c r="AW54" s="21">
        <f>ROUND(F54*AO54,2)</f>
        <v>0</v>
      </c>
      <c r="AX54" s="21">
        <f>ROUND(F54*AP54,2)</f>
        <v>0</v>
      </c>
      <c r="AY54" s="22" t="s">
        <v>152</v>
      </c>
      <c r="AZ54" s="22" t="s">
        <v>100</v>
      </c>
      <c r="BA54" s="9" t="s">
        <v>56</v>
      </c>
      <c r="BC54" s="21">
        <f>AW54+AX54</f>
        <v>0</v>
      </c>
      <c r="BD54" s="21">
        <f>G54/(100-BE54)*100</f>
        <v>0</v>
      </c>
      <c r="BE54" s="21">
        <v>0</v>
      </c>
      <c r="BF54" s="21">
        <f>57</f>
        <v>57</v>
      </c>
      <c r="BH54" s="21">
        <f>F54*AO54</f>
        <v>0</v>
      </c>
      <c r="BI54" s="21">
        <f>F54*AP54</f>
        <v>0</v>
      </c>
      <c r="BJ54" s="21">
        <f>F54*G54</f>
        <v>0</v>
      </c>
      <c r="BK54" s="22" t="s">
        <v>57</v>
      </c>
      <c r="BL54" s="21"/>
      <c r="BW54" s="21">
        <v>21</v>
      </c>
      <c r="BX54" s="4" t="s">
        <v>151</v>
      </c>
    </row>
    <row r="55" spans="1:76" ht="39.6" x14ac:dyDescent="0.3">
      <c r="A55" s="23"/>
      <c r="B55" s="24" t="s">
        <v>58</v>
      </c>
      <c r="C55" s="137" t="s">
        <v>153</v>
      </c>
      <c r="D55" s="138"/>
      <c r="E55" s="138"/>
      <c r="F55" s="138"/>
      <c r="G55" s="138"/>
      <c r="H55" s="138"/>
      <c r="I55" s="138"/>
      <c r="J55" s="138"/>
      <c r="K55" s="139"/>
      <c r="BX55" s="25" t="s">
        <v>153</v>
      </c>
    </row>
    <row r="56" spans="1:76" ht="14.4" x14ac:dyDescent="0.3">
      <c r="A56" s="2">
        <v>22</v>
      </c>
      <c r="B56" s="3" t="s">
        <v>154</v>
      </c>
      <c r="C56" s="121" t="s">
        <v>155</v>
      </c>
      <c r="D56" s="122"/>
      <c r="E56" s="67" t="s">
        <v>126</v>
      </c>
      <c r="F56" s="68">
        <v>1266</v>
      </c>
      <c r="G56" s="69">
        <v>0</v>
      </c>
      <c r="H56" s="68">
        <f t="shared" ref="H56:H68" si="0">ROUND(F56*AO56,2)</f>
        <v>0</v>
      </c>
      <c r="I56" s="68">
        <f t="shared" ref="I56:I68" si="1">ROUND(F56*AP56,2)</f>
        <v>0</v>
      </c>
      <c r="J56" s="68">
        <f t="shared" ref="J56:J68" si="2">ROUND(F56*G56,2)</f>
        <v>0</v>
      </c>
      <c r="K56" s="75"/>
      <c r="Z56" s="21">
        <f t="shared" ref="Z56:Z68" si="3">ROUND(IF(AQ56="5",BJ56,0),2)</f>
        <v>0</v>
      </c>
      <c r="AB56" s="21">
        <f t="shared" ref="AB56:AB68" si="4">ROUND(IF(AQ56="1",BH56,0),2)</f>
        <v>0</v>
      </c>
      <c r="AC56" s="21">
        <f t="shared" ref="AC56:AC68" si="5">ROUND(IF(AQ56="1",BI56,0),2)</f>
        <v>0</v>
      </c>
      <c r="AD56" s="21">
        <f t="shared" ref="AD56:AD68" si="6">ROUND(IF(AQ56="7",BH56,0),2)</f>
        <v>0</v>
      </c>
      <c r="AE56" s="21">
        <f t="shared" ref="AE56:AE68" si="7">ROUND(IF(AQ56="7",BI56,0),2)</f>
        <v>0</v>
      </c>
      <c r="AF56" s="21">
        <f t="shared" ref="AF56:AF68" si="8">ROUND(IF(AQ56="2",BH56,0),2)</f>
        <v>0</v>
      </c>
      <c r="AG56" s="21">
        <f t="shared" ref="AG56:AG68" si="9">ROUND(IF(AQ56="2",BI56,0),2)</f>
        <v>0</v>
      </c>
      <c r="AH56" s="21">
        <f t="shared" ref="AH56:AH68" si="10">ROUND(IF(AQ56="0",BJ56,0),2)</f>
        <v>0</v>
      </c>
      <c r="AI56" s="9" t="s">
        <v>47</v>
      </c>
      <c r="AJ56" s="21">
        <f t="shared" ref="AJ56:AJ68" si="11">IF(AN56=0,J56,0)</f>
        <v>0</v>
      </c>
      <c r="AK56" s="21">
        <f t="shared" ref="AK56:AK68" si="12">IF(AN56=12,J56,0)</f>
        <v>0</v>
      </c>
      <c r="AL56" s="21">
        <f t="shared" ref="AL56:AL68" si="13">IF(AN56=21,J56,0)</f>
        <v>0</v>
      </c>
      <c r="AN56" s="21">
        <v>21</v>
      </c>
      <c r="AO56" s="21">
        <f t="shared" ref="AO56:AO68" si="14">G56*0</f>
        <v>0</v>
      </c>
      <c r="AP56" s="21">
        <f t="shared" ref="AP56:AP68" si="15">G56*(1-0)</f>
        <v>0</v>
      </c>
      <c r="AQ56" s="22" t="s">
        <v>80</v>
      </c>
      <c r="AV56" s="21">
        <f t="shared" ref="AV56:AV68" si="16">ROUND(AW56+AX56,2)</f>
        <v>0</v>
      </c>
      <c r="AW56" s="21">
        <f t="shared" ref="AW56:AW68" si="17">ROUND(F56*AO56,2)</f>
        <v>0</v>
      </c>
      <c r="AX56" s="21">
        <f t="shared" ref="AX56:AX68" si="18">ROUND(F56*AP56,2)</f>
        <v>0</v>
      </c>
      <c r="AY56" s="22" t="s">
        <v>152</v>
      </c>
      <c r="AZ56" s="22" t="s">
        <v>100</v>
      </c>
      <c r="BA56" s="9" t="s">
        <v>56</v>
      </c>
      <c r="BC56" s="21">
        <f t="shared" ref="BC56:BC68" si="19">AW56+AX56</f>
        <v>0</v>
      </c>
      <c r="BD56" s="21">
        <f t="shared" ref="BD56:BD68" si="20">G56/(100-BE56)*100</f>
        <v>0</v>
      </c>
      <c r="BE56" s="21">
        <v>0</v>
      </c>
      <c r="BF56" s="21">
        <f>59</f>
        <v>59</v>
      </c>
      <c r="BH56" s="21">
        <f t="shared" ref="BH56:BH68" si="21">F56*AO56</f>
        <v>0</v>
      </c>
      <c r="BI56" s="21">
        <f t="shared" ref="BI56:BI68" si="22">F56*AP56</f>
        <v>0</v>
      </c>
      <c r="BJ56" s="21">
        <f t="shared" ref="BJ56:BJ68" si="23">F56*G56</f>
        <v>0</v>
      </c>
      <c r="BK56" s="22" t="s">
        <v>57</v>
      </c>
      <c r="BL56" s="21"/>
      <c r="BW56" s="21">
        <v>21</v>
      </c>
      <c r="BX56" s="4" t="s">
        <v>155</v>
      </c>
    </row>
    <row r="57" spans="1:76" ht="14.4" x14ac:dyDescent="0.3">
      <c r="A57" s="2">
        <v>23</v>
      </c>
      <c r="B57" s="3" t="s">
        <v>156</v>
      </c>
      <c r="C57" s="121" t="s">
        <v>309</v>
      </c>
      <c r="D57" s="122"/>
      <c r="E57" s="67" t="s">
        <v>126</v>
      </c>
      <c r="F57" s="68">
        <v>5065</v>
      </c>
      <c r="G57" s="69">
        <v>0</v>
      </c>
      <c r="H57" s="68">
        <f t="shared" si="0"/>
        <v>0</v>
      </c>
      <c r="I57" s="68">
        <f t="shared" si="1"/>
        <v>0</v>
      </c>
      <c r="J57" s="68">
        <f t="shared" si="2"/>
        <v>0</v>
      </c>
      <c r="K57" s="75"/>
      <c r="Z57" s="21">
        <f t="shared" si="3"/>
        <v>0</v>
      </c>
      <c r="AB57" s="21">
        <f t="shared" si="4"/>
        <v>0</v>
      </c>
      <c r="AC57" s="21">
        <f t="shared" si="5"/>
        <v>0</v>
      </c>
      <c r="AD57" s="21">
        <f t="shared" si="6"/>
        <v>0</v>
      </c>
      <c r="AE57" s="21">
        <f t="shared" si="7"/>
        <v>0</v>
      </c>
      <c r="AF57" s="21">
        <f t="shared" si="8"/>
        <v>0</v>
      </c>
      <c r="AG57" s="21">
        <f t="shared" si="9"/>
        <v>0</v>
      </c>
      <c r="AH57" s="21">
        <f t="shared" si="10"/>
        <v>0</v>
      </c>
      <c r="AI57" s="9" t="s">
        <v>47</v>
      </c>
      <c r="AJ57" s="21">
        <f t="shared" si="11"/>
        <v>0</v>
      </c>
      <c r="AK57" s="21">
        <f t="shared" si="12"/>
        <v>0</v>
      </c>
      <c r="AL57" s="21">
        <f t="shared" si="13"/>
        <v>0</v>
      </c>
      <c r="AN57" s="21">
        <v>21</v>
      </c>
      <c r="AO57" s="21">
        <f t="shared" si="14"/>
        <v>0</v>
      </c>
      <c r="AP57" s="21">
        <f t="shared" si="15"/>
        <v>0</v>
      </c>
      <c r="AQ57" s="22" t="s">
        <v>80</v>
      </c>
      <c r="AV57" s="21">
        <f t="shared" si="16"/>
        <v>0</v>
      </c>
      <c r="AW57" s="21">
        <f t="shared" si="17"/>
        <v>0</v>
      </c>
      <c r="AX57" s="21">
        <f t="shared" si="18"/>
        <v>0</v>
      </c>
      <c r="AY57" s="22" t="s">
        <v>152</v>
      </c>
      <c r="AZ57" s="22" t="s">
        <v>100</v>
      </c>
      <c r="BA57" s="9" t="s">
        <v>56</v>
      </c>
      <c r="BC57" s="21">
        <f t="shared" si="19"/>
        <v>0</v>
      </c>
      <c r="BD57" s="21">
        <f t="shared" si="20"/>
        <v>0</v>
      </c>
      <c r="BE57" s="21">
        <v>0</v>
      </c>
      <c r="BF57" s="21">
        <f>60</f>
        <v>60</v>
      </c>
      <c r="BH57" s="21">
        <f t="shared" si="21"/>
        <v>0</v>
      </c>
      <c r="BI57" s="21">
        <f t="shared" si="22"/>
        <v>0</v>
      </c>
      <c r="BJ57" s="21">
        <f t="shared" si="23"/>
        <v>0</v>
      </c>
      <c r="BK57" s="22" t="s">
        <v>57</v>
      </c>
      <c r="BL57" s="21"/>
      <c r="BW57" s="21">
        <v>21</v>
      </c>
      <c r="BX57" s="4" t="s">
        <v>157</v>
      </c>
    </row>
    <row r="58" spans="1:76" ht="14.4" x14ac:dyDescent="0.3">
      <c r="A58" s="2">
        <v>24</v>
      </c>
      <c r="B58" s="3" t="s">
        <v>158</v>
      </c>
      <c r="C58" s="121" t="s">
        <v>159</v>
      </c>
      <c r="D58" s="122"/>
      <c r="E58" s="67" t="s">
        <v>126</v>
      </c>
      <c r="F58" s="68">
        <v>3361</v>
      </c>
      <c r="G58" s="69">
        <v>0</v>
      </c>
      <c r="H58" s="68">
        <f t="shared" si="0"/>
        <v>0</v>
      </c>
      <c r="I58" s="68">
        <f t="shared" si="1"/>
        <v>0</v>
      </c>
      <c r="J58" s="68">
        <f t="shared" si="2"/>
        <v>0</v>
      </c>
      <c r="K58" s="75"/>
      <c r="Z58" s="21">
        <f t="shared" si="3"/>
        <v>0</v>
      </c>
      <c r="AB58" s="21">
        <f t="shared" si="4"/>
        <v>0</v>
      </c>
      <c r="AC58" s="21">
        <f t="shared" si="5"/>
        <v>0</v>
      </c>
      <c r="AD58" s="21">
        <f t="shared" si="6"/>
        <v>0</v>
      </c>
      <c r="AE58" s="21">
        <f t="shared" si="7"/>
        <v>0</v>
      </c>
      <c r="AF58" s="21">
        <f t="shared" si="8"/>
        <v>0</v>
      </c>
      <c r="AG58" s="21">
        <f t="shared" si="9"/>
        <v>0</v>
      </c>
      <c r="AH58" s="21">
        <f t="shared" si="10"/>
        <v>0</v>
      </c>
      <c r="AI58" s="9" t="s">
        <v>47</v>
      </c>
      <c r="AJ58" s="21">
        <f t="shared" si="11"/>
        <v>0</v>
      </c>
      <c r="AK58" s="21">
        <f t="shared" si="12"/>
        <v>0</v>
      </c>
      <c r="AL58" s="21">
        <f t="shared" si="13"/>
        <v>0</v>
      </c>
      <c r="AN58" s="21">
        <v>21</v>
      </c>
      <c r="AO58" s="21">
        <f t="shared" si="14"/>
        <v>0</v>
      </c>
      <c r="AP58" s="21">
        <f t="shared" si="15"/>
        <v>0</v>
      </c>
      <c r="AQ58" s="22" t="s">
        <v>80</v>
      </c>
      <c r="AV58" s="21">
        <f t="shared" si="16"/>
        <v>0</v>
      </c>
      <c r="AW58" s="21">
        <f t="shared" si="17"/>
        <v>0</v>
      </c>
      <c r="AX58" s="21">
        <f t="shared" si="18"/>
        <v>0</v>
      </c>
      <c r="AY58" s="22" t="s">
        <v>152</v>
      </c>
      <c r="AZ58" s="22" t="s">
        <v>100</v>
      </c>
      <c r="BA58" s="9" t="s">
        <v>56</v>
      </c>
      <c r="BC58" s="21">
        <f t="shared" si="19"/>
        <v>0</v>
      </c>
      <c r="BD58" s="21">
        <f t="shared" si="20"/>
        <v>0</v>
      </c>
      <c r="BE58" s="21">
        <v>0</v>
      </c>
      <c r="BF58" s="21">
        <f>61</f>
        <v>61</v>
      </c>
      <c r="BH58" s="21">
        <f t="shared" si="21"/>
        <v>0</v>
      </c>
      <c r="BI58" s="21">
        <f t="shared" si="22"/>
        <v>0</v>
      </c>
      <c r="BJ58" s="21">
        <f t="shared" si="23"/>
        <v>0</v>
      </c>
      <c r="BK58" s="22" t="s">
        <v>57</v>
      </c>
      <c r="BL58" s="21"/>
      <c r="BW58" s="21">
        <v>21</v>
      </c>
      <c r="BX58" s="4" t="s">
        <v>159</v>
      </c>
    </row>
    <row r="59" spans="1:76" ht="14.4" x14ac:dyDescent="0.3">
      <c r="A59" s="64">
        <v>25</v>
      </c>
      <c r="B59" s="3" t="s">
        <v>310</v>
      </c>
      <c r="C59" s="121" t="s">
        <v>311</v>
      </c>
      <c r="D59" s="122"/>
      <c r="E59" s="67" t="s">
        <v>53</v>
      </c>
      <c r="F59" s="68">
        <v>115.2</v>
      </c>
      <c r="G59" s="69">
        <v>0</v>
      </c>
      <c r="H59" s="68">
        <f>ROUND(F59*AO59,2)</f>
        <v>0</v>
      </c>
      <c r="I59" s="68">
        <f>ROUND(F59*AP59,2)</f>
        <v>0</v>
      </c>
      <c r="J59" s="68">
        <f>ROUND(F59*G59,2)</f>
        <v>0</v>
      </c>
      <c r="K59" s="97" t="s">
        <v>312</v>
      </c>
      <c r="Z59" s="21">
        <f>ROUND(IF(AQ59="5",BJ59,0),2)</f>
        <v>0</v>
      </c>
      <c r="AB59" s="21">
        <f>ROUND(IF(AQ59="1",BH59,0),2)</f>
        <v>0</v>
      </c>
      <c r="AC59" s="21">
        <f>ROUND(IF(AQ59="1",BI59,0),2)</f>
        <v>0</v>
      </c>
      <c r="AD59" s="21">
        <f>ROUND(IF(AQ59="7",BH59,0),2)</f>
        <v>0</v>
      </c>
      <c r="AE59" s="21">
        <f>ROUND(IF(AQ59="7",BI59,0),2)</f>
        <v>0</v>
      </c>
      <c r="AF59" s="21">
        <f>ROUND(IF(AQ59="2",BH59,0),2)</f>
        <v>0</v>
      </c>
      <c r="AG59" s="21">
        <f>ROUND(IF(AQ59="2",BI59,0),2)</f>
        <v>0</v>
      </c>
      <c r="AH59" s="21">
        <f>ROUND(IF(AQ59="0",BJ59,0),2)</f>
        <v>0</v>
      </c>
      <c r="AI59" s="9" t="s">
        <v>47</v>
      </c>
      <c r="AJ59" s="21">
        <f>IF(AN59=0,J59,0)</f>
        <v>0</v>
      </c>
      <c r="AK59" s="21">
        <f>IF(AN59=12,J59,0)</f>
        <v>0</v>
      </c>
      <c r="AL59" s="21">
        <f>IF(AN59=21,J59,0)</f>
        <v>0</v>
      </c>
      <c r="AN59" s="21">
        <v>21</v>
      </c>
      <c r="AO59" s="21">
        <f>G59*0</f>
        <v>0</v>
      </c>
      <c r="AP59" s="21">
        <f>G59*(1-0)</f>
        <v>0</v>
      </c>
      <c r="AQ59" s="22" t="s">
        <v>80</v>
      </c>
      <c r="AV59" s="21">
        <f>ROUND(AW59+AX59,2)</f>
        <v>0</v>
      </c>
      <c r="AW59" s="21">
        <f>ROUND(F59*AO59,2)</f>
        <v>0</v>
      </c>
      <c r="AX59" s="21">
        <f>ROUND(F59*AP59,2)</f>
        <v>0</v>
      </c>
      <c r="AY59" s="22" t="s">
        <v>152</v>
      </c>
      <c r="AZ59" s="22" t="s">
        <v>100</v>
      </c>
      <c r="BA59" s="9" t="s">
        <v>56</v>
      </c>
      <c r="BC59" s="21">
        <f>AW59+AX59</f>
        <v>0</v>
      </c>
      <c r="BD59" s="21">
        <f>G59/(100-BE59)*100</f>
        <v>0</v>
      </c>
      <c r="BE59" s="21">
        <v>0</v>
      </c>
      <c r="BF59" s="21">
        <f>64</f>
        <v>64</v>
      </c>
      <c r="BH59" s="21">
        <f>F59*AO59</f>
        <v>0</v>
      </c>
      <c r="BI59" s="21">
        <f>F59*AP59</f>
        <v>0</v>
      </c>
      <c r="BJ59" s="21">
        <f>F59*G59</f>
        <v>0</v>
      </c>
      <c r="BK59" s="22" t="s">
        <v>57</v>
      </c>
      <c r="BL59" s="21"/>
      <c r="BW59" s="21">
        <v>21</v>
      </c>
      <c r="BX59" s="4" t="s">
        <v>311</v>
      </c>
    </row>
    <row r="60" spans="1:76" ht="19.5" customHeight="1" x14ac:dyDescent="0.3">
      <c r="A60" s="64">
        <v>26</v>
      </c>
      <c r="B60" s="3" t="s">
        <v>160</v>
      </c>
      <c r="C60" s="121" t="s">
        <v>313</v>
      </c>
      <c r="D60" s="122"/>
      <c r="E60" s="67" t="s">
        <v>126</v>
      </c>
      <c r="F60" s="68">
        <v>19</v>
      </c>
      <c r="G60" s="69">
        <v>0</v>
      </c>
      <c r="H60" s="68">
        <f t="shared" ref="H60" si="24">ROUND(F60*AO60,2)</f>
        <v>0</v>
      </c>
      <c r="I60" s="68">
        <f t="shared" ref="I60" si="25">ROUND(F60*AP60,2)</f>
        <v>0</v>
      </c>
      <c r="J60" s="68">
        <f t="shared" ref="J60" si="26">ROUND(F60*G60,2)</f>
        <v>0</v>
      </c>
      <c r="K60" s="97" t="s">
        <v>312</v>
      </c>
      <c r="Z60" s="21">
        <f t="shared" ref="Z60" si="27">ROUND(IF(AQ60="5",BJ60,0),2)</f>
        <v>0</v>
      </c>
      <c r="AB60" s="21">
        <f t="shared" ref="AB60" si="28">ROUND(IF(AQ60="1",BH60,0),2)</f>
        <v>0</v>
      </c>
      <c r="AC60" s="21">
        <f t="shared" ref="AC60" si="29">ROUND(IF(AQ60="1",BI60,0),2)</f>
        <v>0</v>
      </c>
      <c r="AD60" s="21">
        <f t="shared" ref="AD60" si="30">ROUND(IF(AQ60="7",BH60,0),2)</f>
        <v>0</v>
      </c>
      <c r="AE60" s="21">
        <f t="shared" ref="AE60" si="31">ROUND(IF(AQ60="7",BI60,0),2)</f>
        <v>0</v>
      </c>
      <c r="AF60" s="21">
        <f t="shared" ref="AF60" si="32">ROUND(IF(AQ60="2",BH60,0),2)</f>
        <v>0</v>
      </c>
      <c r="AG60" s="21">
        <f t="shared" ref="AG60" si="33">ROUND(IF(AQ60="2",BI60,0),2)</f>
        <v>0</v>
      </c>
      <c r="AH60" s="21">
        <f t="shared" ref="AH60" si="34">ROUND(IF(AQ60="0",BJ60,0),2)</f>
        <v>0</v>
      </c>
      <c r="AI60" s="9" t="s">
        <v>47</v>
      </c>
      <c r="AJ60" s="21">
        <f t="shared" ref="AJ60" si="35">IF(AN60=0,J60,0)</f>
        <v>0</v>
      </c>
      <c r="AK60" s="21">
        <f t="shared" ref="AK60" si="36">IF(AN60=12,J60,0)</f>
        <v>0</v>
      </c>
      <c r="AL60" s="21">
        <f t="shared" ref="AL60" si="37">IF(AN60=21,J60,0)</f>
        <v>0</v>
      </c>
      <c r="AN60" s="21">
        <v>21</v>
      </c>
      <c r="AO60" s="21">
        <f t="shared" ref="AO60" si="38">G60*0</f>
        <v>0</v>
      </c>
      <c r="AP60" s="21">
        <f t="shared" ref="AP60" si="39">G60*(1-0)</f>
        <v>0</v>
      </c>
      <c r="AQ60" s="22" t="s">
        <v>80</v>
      </c>
      <c r="AV60" s="21">
        <f t="shared" ref="AV60" si="40">ROUND(AW60+AX60,2)</f>
        <v>0</v>
      </c>
      <c r="AW60" s="21">
        <f t="shared" ref="AW60" si="41">ROUND(F60*AO60,2)</f>
        <v>0</v>
      </c>
      <c r="AX60" s="21">
        <f t="shared" ref="AX60" si="42">ROUND(F60*AP60,2)</f>
        <v>0</v>
      </c>
      <c r="AY60" s="22" t="s">
        <v>152</v>
      </c>
      <c r="AZ60" s="22" t="s">
        <v>100</v>
      </c>
      <c r="BA60" s="9" t="s">
        <v>56</v>
      </c>
      <c r="BC60" s="21">
        <f t="shared" ref="BC60" si="43">AW60+AX60</f>
        <v>0</v>
      </c>
      <c r="BD60" s="21">
        <f t="shared" ref="BD60" si="44">G60/(100-BE60)*100</f>
        <v>0</v>
      </c>
      <c r="BE60" s="21">
        <v>0</v>
      </c>
      <c r="BF60" s="21">
        <f>71</f>
        <v>71</v>
      </c>
      <c r="BH60" s="21">
        <f t="shared" ref="BH60" si="45">F60*AO60</f>
        <v>0</v>
      </c>
      <c r="BI60" s="21">
        <f t="shared" ref="BI60" si="46">F60*AP60</f>
        <v>0</v>
      </c>
      <c r="BJ60" s="21">
        <f t="shared" ref="BJ60" si="47">F60*G60</f>
        <v>0</v>
      </c>
      <c r="BK60" s="22" t="s">
        <v>57</v>
      </c>
      <c r="BL60" s="21"/>
      <c r="BW60" s="21">
        <v>21</v>
      </c>
      <c r="BX60" s="4" t="s">
        <v>313</v>
      </c>
    </row>
    <row r="61" spans="1:76" ht="14.4" x14ac:dyDescent="0.3">
      <c r="A61" s="64"/>
      <c r="B61" s="24" t="s">
        <v>58</v>
      </c>
      <c r="C61" s="142" t="s">
        <v>314</v>
      </c>
      <c r="D61" s="142"/>
      <c r="E61" s="142"/>
      <c r="F61" s="142"/>
      <c r="G61" s="142"/>
      <c r="H61" s="142"/>
      <c r="I61" s="142"/>
      <c r="J61" s="142"/>
      <c r="K61" s="143"/>
      <c r="Z61" s="21"/>
      <c r="AB61" s="21"/>
      <c r="AC61" s="21"/>
      <c r="AD61" s="21"/>
      <c r="AE61" s="21"/>
      <c r="AF61" s="21"/>
      <c r="AG61" s="21"/>
      <c r="AH61" s="21"/>
      <c r="AI61" s="9"/>
      <c r="AJ61" s="21"/>
      <c r="AK61" s="21"/>
      <c r="AL61" s="21"/>
      <c r="AN61" s="21"/>
      <c r="AO61" s="21"/>
      <c r="AP61" s="21"/>
      <c r="AQ61" s="22"/>
      <c r="AV61" s="21"/>
      <c r="AW61" s="21"/>
      <c r="AX61" s="21"/>
      <c r="AY61" s="22"/>
      <c r="AZ61" s="22"/>
      <c r="BA61" s="9"/>
      <c r="BC61" s="21"/>
      <c r="BD61" s="21"/>
      <c r="BE61" s="21"/>
      <c r="BF61" s="21"/>
      <c r="BH61" s="21"/>
      <c r="BI61" s="21"/>
      <c r="BJ61" s="21"/>
      <c r="BK61" s="22"/>
      <c r="BL61" s="21"/>
      <c r="BW61" s="21"/>
      <c r="BX61" s="4"/>
    </row>
    <row r="62" spans="1:76" ht="14.4" x14ac:dyDescent="0.3">
      <c r="A62" s="2">
        <v>27</v>
      </c>
      <c r="B62" s="77" t="s">
        <v>160</v>
      </c>
      <c r="C62" s="121" t="s">
        <v>282</v>
      </c>
      <c r="D62" s="122"/>
      <c r="E62" s="67" t="s">
        <v>126</v>
      </c>
      <c r="F62" s="68">
        <v>220</v>
      </c>
      <c r="G62" s="69">
        <v>0</v>
      </c>
      <c r="H62" s="68">
        <f t="shared" si="0"/>
        <v>0</v>
      </c>
      <c r="I62" s="68">
        <f t="shared" si="1"/>
        <v>0</v>
      </c>
      <c r="J62" s="68">
        <f t="shared" si="2"/>
        <v>0</v>
      </c>
      <c r="K62" s="75"/>
      <c r="Z62" s="21">
        <f t="shared" si="3"/>
        <v>0</v>
      </c>
      <c r="AB62" s="21">
        <f t="shared" si="4"/>
        <v>0</v>
      </c>
      <c r="AC62" s="21">
        <f t="shared" si="5"/>
        <v>0</v>
      </c>
      <c r="AD62" s="21">
        <f t="shared" si="6"/>
        <v>0</v>
      </c>
      <c r="AE62" s="21">
        <f t="shared" si="7"/>
        <v>0</v>
      </c>
      <c r="AF62" s="21">
        <f t="shared" si="8"/>
        <v>0</v>
      </c>
      <c r="AG62" s="21">
        <f t="shared" si="9"/>
        <v>0</v>
      </c>
      <c r="AH62" s="21">
        <f t="shared" si="10"/>
        <v>0</v>
      </c>
      <c r="AI62" s="9" t="s">
        <v>47</v>
      </c>
      <c r="AJ62" s="21">
        <f t="shared" si="11"/>
        <v>0</v>
      </c>
      <c r="AK62" s="21">
        <f t="shared" si="12"/>
        <v>0</v>
      </c>
      <c r="AL62" s="21">
        <f t="shared" si="13"/>
        <v>0</v>
      </c>
      <c r="AN62" s="21">
        <v>21</v>
      </c>
      <c r="AO62" s="21">
        <f t="shared" si="14"/>
        <v>0</v>
      </c>
      <c r="AP62" s="21">
        <f t="shared" si="15"/>
        <v>0</v>
      </c>
      <c r="AQ62" s="22" t="s">
        <v>80</v>
      </c>
      <c r="AV62" s="21">
        <f t="shared" si="16"/>
        <v>0</v>
      </c>
      <c r="AW62" s="21">
        <f t="shared" si="17"/>
        <v>0</v>
      </c>
      <c r="AX62" s="21">
        <f t="shared" si="18"/>
        <v>0</v>
      </c>
      <c r="AY62" s="22" t="s">
        <v>152</v>
      </c>
      <c r="AZ62" s="22" t="s">
        <v>100</v>
      </c>
      <c r="BA62" s="9" t="s">
        <v>56</v>
      </c>
      <c r="BC62" s="21">
        <f t="shared" si="19"/>
        <v>0</v>
      </c>
      <c r="BD62" s="21">
        <f t="shared" si="20"/>
        <v>0</v>
      </c>
      <c r="BE62" s="21">
        <v>0</v>
      </c>
      <c r="BF62" s="21">
        <f>62</f>
        <v>62</v>
      </c>
      <c r="BH62" s="21">
        <f t="shared" si="21"/>
        <v>0</v>
      </c>
      <c r="BI62" s="21">
        <f t="shared" si="22"/>
        <v>0</v>
      </c>
      <c r="BJ62" s="21">
        <f t="shared" si="23"/>
        <v>0</v>
      </c>
      <c r="BK62" s="22" t="s">
        <v>57</v>
      </c>
      <c r="BL62" s="21"/>
      <c r="BW62" s="21">
        <v>21</v>
      </c>
      <c r="BX62" s="4" t="s">
        <v>161</v>
      </c>
    </row>
    <row r="63" spans="1:76" ht="14.25" customHeight="1" x14ac:dyDescent="0.3">
      <c r="A63" s="64"/>
      <c r="B63" s="24" t="s">
        <v>58</v>
      </c>
      <c r="C63" s="142" t="s">
        <v>319</v>
      </c>
      <c r="D63" s="142"/>
      <c r="E63" s="142"/>
      <c r="F63" s="142"/>
      <c r="G63" s="142"/>
      <c r="H63" s="142"/>
      <c r="I63" s="142"/>
      <c r="J63" s="142"/>
      <c r="K63" s="143"/>
      <c r="Z63" s="21"/>
      <c r="AB63" s="21"/>
      <c r="AC63" s="21"/>
      <c r="AD63" s="21"/>
      <c r="AE63" s="21"/>
      <c r="AF63" s="21"/>
      <c r="AG63" s="21"/>
      <c r="AH63" s="21"/>
      <c r="AI63" s="9"/>
      <c r="AJ63" s="21"/>
      <c r="AK63" s="21"/>
      <c r="AL63" s="21"/>
      <c r="AN63" s="21"/>
      <c r="AO63" s="21"/>
      <c r="AP63" s="21"/>
      <c r="AQ63" s="22"/>
      <c r="AV63" s="21"/>
      <c r="AW63" s="21"/>
      <c r="AX63" s="21"/>
      <c r="AY63" s="22"/>
      <c r="AZ63" s="22"/>
      <c r="BA63" s="9"/>
      <c r="BC63" s="21"/>
      <c r="BD63" s="21"/>
      <c r="BE63" s="21"/>
      <c r="BF63" s="21"/>
      <c r="BH63" s="21"/>
      <c r="BI63" s="21"/>
      <c r="BJ63" s="21"/>
      <c r="BK63" s="22"/>
      <c r="BL63" s="21"/>
      <c r="BW63" s="21"/>
      <c r="BX63" s="4"/>
    </row>
    <row r="64" spans="1:76" ht="14.4" x14ac:dyDescent="0.3">
      <c r="A64" s="2">
        <v>28</v>
      </c>
      <c r="B64" s="77" t="s">
        <v>306</v>
      </c>
      <c r="C64" s="121" t="s">
        <v>321</v>
      </c>
      <c r="D64" s="122"/>
      <c r="E64" s="67" t="s">
        <v>126</v>
      </c>
      <c r="F64" s="68">
        <v>1013</v>
      </c>
      <c r="G64" s="69">
        <v>0</v>
      </c>
      <c r="H64" s="68">
        <f t="shared" ref="H64" si="48">ROUND(F64*AO64,2)</f>
        <v>0</v>
      </c>
      <c r="I64" s="68">
        <f t="shared" ref="I64" si="49">ROUND(F64*AP64,2)</f>
        <v>0</v>
      </c>
      <c r="J64" s="68">
        <f t="shared" ref="J64" si="50">ROUND(F64*G64,2)</f>
        <v>0</v>
      </c>
      <c r="K64" s="75"/>
      <c r="Z64" s="21">
        <f t="shared" ref="Z64" si="51">ROUND(IF(AQ64="5",BJ64,0),2)</f>
        <v>0</v>
      </c>
      <c r="AB64" s="21">
        <f t="shared" ref="AB64" si="52">ROUND(IF(AQ64="1",BH64,0),2)</f>
        <v>0</v>
      </c>
      <c r="AC64" s="21">
        <f t="shared" ref="AC64" si="53">ROUND(IF(AQ64="1",BI64,0),2)</f>
        <v>0</v>
      </c>
      <c r="AD64" s="21">
        <f t="shared" ref="AD64" si="54">ROUND(IF(AQ64="7",BH64,0),2)</f>
        <v>0</v>
      </c>
      <c r="AE64" s="21">
        <f t="shared" ref="AE64" si="55">ROUND(IF(AQ64="7",BI64,0),2)</f>
        <v>0</v>
      </c>
      <c r="AF64" s="21">
        <f t="shared" ref="AF64" si="56">ROUND(IF(AQ64="2",BH64,0),2)</f>
        <v>0</v>
      </c>
      <c r="AG64" s="21">
        <f t="shared" ref="AG64" si="57">ROUND(IF(AQ64="2",BI64,0),2)</f>
        <v>0</v>
      </c>
      <c r="AH64" s="21">
        <f t="shared" ref="AH64" si="58">ROUND(IF(AQ64="0",BJ64,0),2)</f>
        <v>0</v>
      </c>
      <c r="AI64" s="9" t="s">
        <v>47</v>
      </c>
      <c r="AJ64" s="21">
        <f t="shared" ref="AJ64" si="59">IF(AN64=0,J64,0)</f>
        <v>0</v>
      </c>
      <c r="AK64" s="21">
        <f t="shared" ref="AK64" si="60">IF(AN64=12,J64,0)</f>
        <v>0</v>
      </c>
      <c r="AL64" s="21">
        <f t="shared" ref="AL64" si="61">IF(AN64=21,J64,0)</f>
        <v>0</v>
      </c>
      <c r="AN64" s="21">
        <v>21</v>
      </c>
      <c r="AO64" s="21">
        <f t="shared" ref="AO64" si="62">G64*0</f>
        <v>0</v>
      </c>
      <c r="AP64" s="21">
        <f t="shared" ref="AP64" si="63">G64*(1-0)</f>
        <v>0</v>
      </c>
      <c r="AQ64" s="22" t="s">
        <v>80</v>
      </c>
      <c r="AV64" s="21">
        <f t="shared" ref="AV64" si="64">ROUND(AW64+AX64,2)</f>
        <v>0</v>
      </c>
      <c r="AW64" s="21">
        <f t="shared" ref="AW64" si="65">ROUND(F64*AO64,2)</f>
        <v>0</v>
      </c>
      <c r="AX64" s="21">
        <f t="shared" ref="AX64" si="66">ROUND(F64*AP64,2)</f>
        <v>0</v>
      </c>
      <c r="AY64" s="22" t="s">
        <v>152</v>
      </c>
      <c r="AZ64" s="22" t="s">
        <v>100</v>
      </c>
      <c r="BA64" s="9" t="s">
        <v>56</v>
      </c>
      <c r="BC64" s="21">
        <f t="shared" ref="BC64" si="67">AW64+AX64</f>
        <v>0</v>
      </c>
      <c r="BD64" s="21">
        <f t="shared" ref="BD64" si="68">G64/(100-BE64)*100</f>
        <v>0</v>
      </c>
      <c r="BE64" s="21">
        <v>0</v>
      </c>
      <c r="BF64" s="21">
        <f>62</f>
        <v>62</v>
      </c>
      <c r="BH64" s="21">
        <f t="shared" ref="BH64" si="69">F64*AO64</f>
        <v>0</v>
      </c>
      <c r="BI64" s="21">
        <f t="shared" ref="BI64" si="70">F64*AP64</f>
        <v>0</v>
      </c>
      <c r="BJ64" s="21">
        <f t="shared" ref="BJ64" si="71">F64*G64</f>
        <v>0</v>
      </c>
      <c r="BK64" s="22" t="s">
        <v>57</v>
      </c>
      <c r="BL64" s="21"/>
      <c r="BW64" s="21">
        <v>21</v>
      </c>
      <c r="BX64" s="4" t="s">
        <v>161</v>
      </c>
    </row>
    <row r="65" spans="1:76" ht="14.25" customHeight="1" x14ac:dyDescent="0.3">
      <c r="A65" s="64"/>
      <c r="B65" s="24" t="s">
        <v>58</v>
      </c>
      <c r="C65" s="142" t="s">
        <v>320</v>
      </c>
      <c r="D65" s="142"/>
      <c r="E65" s="142"/>
      <c r="F65" s="142"/>
      <c r="G65" s="142"/>
      <c r="H65" s="142"/>
      <c r="I65" s="142"/>
      <c r="J65" s="142"/>
      <c r="K65" s="143"/>
      <c r="Z65" s="21"/>
      <c r="AB65" s="21"/>
      <c r="AC65" s="21"/>
      <c r="AD65" s="21"/>
      <c r="AE65" s="21"/>
      <c r="AF65" s="21"/>
      <c r="AG65" s="21"/>
      <c r="AH65" s="21"/>
      <c r="AI65" s="9"/>
      <c r="AJ65" s="21"/>
      <c r="AK65" s="21"/>
      <c r="AL65" s="21"/>
      <c r="AN65" s="21"/>
      <c r="AO65" s="21"/>
      <c r="AP65" s="21"/>
      <c r="AQ65" s="22"/>
      <c r="AV65" s="21"/>
      <c r="AW65" s="21"/>
      <c r="AX65" s="21"/>
      <c r="AY65" s="22"/>
      <c r="AZ65" s="22"/>
      <c r="BA65" s="9"/>
      <c r="BC65" s="21"/>
      <c r="BD65" s="21"/>
      <c r="BE65" s="21"/>
      <c r="BF65" s="21"/>
      <c r="BH65" s="21"/>
      <c r="BI65" s="21"/>
      <c r="BJ65" s="21"/>
      <c r="BK65" s="22"/>
      <c r="BL65" s="21"/>
      <c r="BW65" s="21"/>
      <c r="BX65" s="4"/>
    </row>
    <row r="66" spans="1:76" ht="14.4" x14ac:dyDescent="0.3">
      <c r="A66" s="96">
        <v>29</v>
      </c>
      <c r="B66" s="79" t="s">
        <v>162</v>
      </c>
      <c r="C66" s="121" t="s">
        <v>298</v>
      </c>
      <c r="D66" s="122"/>
      <c r="E66" s="67" t="s">
        <v>126</v>
      </c>
      <c r="F66" s="68">
        <v>144</v>
      </c>
      <c r="G66" s="69">
        <v>0</v>
      </c>
      <c r="H66" s="68">
        <f t="shared" si="0"/>
        <v>0</v>
      </c>
      <c r="I66" s="68">
        <f t="shared" si="1"/>
        <v>0</v>
      </c>
      <c r="J66" s="68">
        <f t="shared" si="2"/>
        <v>0</v>
      </c>
      <c r="K66" s="75"/>
      <c r="Z66" s="21">
        <f t="shared" si="3"/>
        <v>0</v>
      </c>
      <c r="AB66" s="21">
        <f t="shared" si="4"/>
        <v>0</v>
      </c>
      <c r="AC66" s="21">
        <f t="shared" si="5"/>
        <v>0</v>
      </c>
      <c r="AD66" s="21">
        <f t="shared" si="6"/>
        <v>0</v>
      </c>
      <c r="AE66" s="21">
        <f t="shared" si="7"/>
        <v>0</v>
      </c>
      <c r="AF66" s="21">
        <f t="shared" si="8"/>
        <v>0</v>
      </c>
      <c r="AG66" s="21">
        <f t="shared" si="9"/>
        <v>0</v>
      </c>
      <c r="AH66" s="21">
        <f t="shared" si="10"/>
        <v>0</v>
      </c>
      <c r="AI66" s="9" t="s">
        <v>47</v>
      </c>
      <c r="AJ66" s="21">
        <f t="shared" si="11"/>
        <v>0</v>
      </c>
      <c r="AK66" s="21">
        <f t="shared" si="12"/>
        <v>0</v>
      </c>
      <c r="AL66" s="21">
        <f t="shared" si="13"/>
        <v>0</v>
      </c>
      <c r="AN66" s="21">
        <v>21</v>
      </c>
      <c r="AO66" s="21">
        <f t="shared" si="14"/>
        <v>0</v>
      </c>
      <c r="AP66" s="21">
        <f t="shared" si="15"/>
        <v>0</v>
      </c>
      <c r="AQ66" s="22" t="s">
        <v>80</v>
      </c>
      <c r="AV66" s="21">
        <f t="shared" si="16"/>
        <v>0</v>
      </c>
      <c r="AW66" s="21">
        <f t="shared" si="17"/>
        <v>0</v>
      </c>
      <c r="AX66" s="21">
        <f t="shared" si="18"/>
        <v>0</v>
      </c>
      <c r="AY66" s="22" t="s">
        <v>152</v>
      </c>
      <c r="AZ66" s="22" t="s">
        <v>100</v>
      </c>
      <c r="BA66" s="9" t="s">
        <v>56</v>
      </c>
      <c r="BC66" s="21">
        <f t="shared" si="19"/>
        <v>0</v>
      </c>
      <c r="BD66" s="21">
        <f t="shared" si="20"/>
        <v>0</v>
      </c>
      <c r="BE66" s="21">
        <v>0</v>
      </c>
      <c r="BF66" s="21">
        <f>63</f>
        <v>63</v>
      </c>
      <c r="BH66" s="21">
        <f t="shared" si="21"/>
        <v>0</v>
      </c>
      <c r="BI66" s="21">
        <f t="shared" si="22"/>
        <v>0</v>
      </c>
      <c r="BJ66" s="21">
        <f t="shared" si="23"/>
        <v>0</v>
      </c>
      <c r="BK66" s="22" t="s">
        <v>57</v>
      </c>
      <c r="BL66" s="21"/>
      <c r="BW66" s="21">
        <v>21</v>
      </c>
      <c r="BX66" s="4" t="s">
        <v>163</v>
      </c>
    </row>
    <row r="67" spans="1:76" ht="14.4" x14ac:dyDescent="0.3">
      <c r="A67" s="64"/>
      <c r="B67" s="24" t="s">
        <v>58</v>
      </c>
      <c r="C67" s="142" t="s">
        <v>315</v>
      </c>
      <c r="D67" s="142"/>
      <c r="E67" s="142"/>
      <c r="F67" s="142"/>
      <c r="G67" s="142"/>
      <c r="H67" s="142"/>
      <c r="I67" s="142"/>
      <c r="J67" s="142"/>
      <c r="K67" s="143"/>
      <c r="Z67" s="21"/>
      <c r="AB67" s="21"/>
      <c r="AC67" s="21"/>
      <c r="AD67" s="21"/>
      <c r="AE67" s="21"/>
      <c r="AF67" s="21"/>
      <c r="AG67" s="21"/>
      <c r="AH67" s="21"/>
      <c r="AI67" s="9"/>
      <c r="AJ67" s="21"/>
      <c r="AK67" s="21"/>
      <c r="AL67" s="21"/>
      <c r="AN67" s="21"/>
      <c r="AO67" s="21"/>
      <c r="AP67" s="21"/>
      <c r="AQ67" s="22"/>
      <c r="AV67" s="21"/>
      <c r="AW67" s="21"/>
      <c r="AX67" s="21"/>
      <c r="AY67" s="22"/>
      <c r="AZ67" s="22"/>
      <c r="BA67" s="9"/>
      <c r="BC67" s="21"/>
      <c r="BD67" s="21"/>
      <c r="BE67" s="21"/>
      <c r="BF67" s="21"/>
      <c r="BH67" s="21"/>
      <c r="BI67" s="21"/>
      <c r="BJ67" s="21"/>
      <c r="BK67" s="22"/>
      <c r="BL67" s="21"/>
      <c r="BW67" s="21"/>
      <c r="BX67" s="4"/>
    </row>
    <row r="68" spans="1:76" ht="14.4" x14ac:dyDescent="0.3">
      <c r="A68" s="2">
        <v>30</v>
      </c>
      <c r="B68" s="3" t="s">
        <v>164</v>
      </c>
      <c r="C68" s="121" t="s">
        <v>282</v>
      </c>
      <c r="D68" s="122"/>
      <c r="E68" s="67" t="s">
        <v>126</v>
      </c>
      <c r="F68" s="68">
        <v>12</v>
      </c>
      <c r="G68" s="69">
        <v>0</v>
      </c>
      <c r="H68" s="68">
        <f t="shared" si="0"/>
        <v>0</v>
      </c>
      <c r="I68" s="68">
        <f t="shared" si="1"/>
        <v>0</v>
      </c>
      <c r="J68" s="68">
        <f t="shared" si="2"/>
        <v>0</v>
      </c>
      <c r="K68" s="75"/>
      <c r="Z68" s="21">
        <f t="shared" si="3"/>
        <v>0</v>
      </c>
      <c r="AB68" s="21">
        <f t="shared" si="4"/>
        <v>0</v>
      </c>
      <c r="AC68" s="21">
        <f t="shared" si="5"/>
        <v>0</v>
      </c>
      <c r="AD68" s="21">
        <f t="shared" si="6"/>
        <v>0</v>
      </c>
      <c r="AE68" s="21">
        <f t="shared" si="7"/>
        <v>0</v>
      </c>
      <c r="AF68" s="21">
        <f t="shared" si="8"/>
        <v>0</v>
      </c>
      <c r="AG68" s="21">
        <f t="shared" si="9"/>
        <v>0</v>
      </c>
      <c r="AH68" s="21">
        <f t="shared" si="10"/>
        <v>0</v>
      </c>
      <c r="AI68" s="9" t="s">
        <v>47</v>
      </c>
      <c r="AJ68" s="21">
        <f t="shared" si="11"/>
        <v>0</v>
      </c>
      <c r="AK68" s="21">
        <f t="shared" si="12"/>
        <v>0</v>
      </c>
      <c r="AL68" s="21">
        <f t="shared" si="13"/>
        <v>0</v>
      </c>
      <c r="AN68" s="21">
        <v>21</v>
      </c>
      <c r="AO68" s="21">
        <f t="shared" si="14"/>
        <v>0</v>
      </c>
      <c r="AP68" s="21">
        <f t="shared" si="15"/>
        <v>0</v>
      </c>
      <c r="AQ68" s="22" t="s">
        <v>80</v>
      </c>
      <c r="AV68" s="21">
        <f t="shared" si="16"/>
        <v>0</v>
      </c>
      <c r="AW68" s="21">
        <f t="shared" si="17"/>
        <v>0</v>
      </c>
      <c r="AX68" s="21">
        <f t="shared" si="18"/>
        <v>0</v>
      </c>
      <c r="AY68" s="22" t="s">
        <v>152</v>
      </c>
      <c r="AZ68" s="22" t="s">
        <v>100</v>
      </c>
      <c r="BA68" s="9" t="s">
        <v>56</v>
      </c>
      <c r="BC68" s="21">
        <f t="shared" si="19"/>
        <v>0</v>
      </c>
      <c r="BD68" s="21">
        <f t="shared" si="20"/>
        <v>0</v>
      </c>
      <c r="BE68" s="21">
        <v>0</v>
      </c>
      <c r="BF68" s="21">
        <f>64</f>
        <v>64</v>
      </c>
      <c r="BH68" s="21">
        <f t="shared" si="21"/>
        <v>0</v>
      </c>
      <c r="BI68" s="21">
        <f t="shared" si="22"/>
        <v>0</v>
      </c>
      <c r="BJ68" s="21">
        <f t="shared" si="23"/>
        <v>0</v>
      </c>
      <c r="BK68" s="22" t="s">
        <v>57</v>
      </c>
      <c r="BL68" s="21"/>
      <c r="BW68" s="21">
        <v>21</v>
      </c>
      <c r="BX68" s="4" t="s">
        <v>165</v>
      </c>
    </row>
    <row r="69" spans="1:76" ht="14.4" x14ac:dyDescent="0.3">
      <c r="A69" s="23"/>
      <c r="B69" s="24" t="s">
        <v>58</v>
      </c>
      <c r="C69" s="137" t="s">
        <v>316</v>
      </c>
      <c r="D69" s="138"/>
      <c r="E69" s="138"/>
      <c r="F69" s="138"/>
      <c r="G69" s="138"/>
      <c r="H69" s="138"/>
      <c r="I69" s="138"/>
      <c r="J69" s="138"/>
      <c r="K69" s="139"/>
      <c r="BX69" s="25" t="s">
        <v>166</v>
      </c>
    </row>
    <row r="70" spans="1:76" ht="14.4" x14ac:dyDescent="0.3">
      <c r="A70" s="2">
        <v>31</v>
      </c>
      <c r="B70" s="3" t="s">
        <v>167</v>
      </c>
      <c r="C70" s="121" t="s">
        <v>283</v>
      </c>
      <c r="D70" s="122"/>
      <c r="E70" s="67" t="s">
        <v>126</v>
      </c>
      <c r="F70" s="68">
        <v>2.2999999999999998</v>
      </c>
      <c r="G70" s="69">
        <v>0</v>
      </c>
      <c r="H70" s="68">
        <f>ROUND(F70*AO70,2)</f>
        <v>0</v>
      </c>
      <c r="I70" s="68">
        <f>ROUND(F70*AP70,2)</f>
        <v>0</v>
      </c>
      <c r="J70" s="68">
        <f>ROUND(F70*G70,2)</f>
        <v>0</v>
      </c>
      <c r="K70" s="75"/>
      <c r="Z70" s="21">
        <f>ROUND(IF(AQ70="5",BJ70,0),2)</f>
        <v>0</v>
      </c>
      <c r="AB70" s="21">
        <f>ROUND(IF(AQ70="1",BH70,0),2)</f>
        <v>0</v>
      </c>
      <c r="AC70" s="21">
        <f>ROUND(IF(AQ70="1",BI70,0),2)</f>
        <v>0</v>
      </c>
      <c r="AD70" s="21">
        <f>ROUND(IF(AQ70="7",BH70,0),2)</f>
        <v>0</v>
      </c>
      <c r="AE70" s="21">
        <f>ROUND(IF(AQ70="7",BI70,0),2)</f>
        <v>0</v>
      </c>
      <c r="AF70" s="21">
        <f>ROUND(IF(AQ70="2",BH70,0),2)</f>
        <v>0</v>
      </c>
      <c r="AG70" s="21">
        <f>ROUND(IF(AQ70="2",BI70,0),2)</f>
        <v>0</v>
      </c>
      <c r="AH70" s="21">
        <f>ROUND(IF(AQ70="0",BJ70,0),2)</f>
        <v>0</v>
      </c>
      <c r="AI70" s="9" t="s">
        <v>47</v>
      </c>
      <c r="AJ70" s="21">
        <f>IF(AN70=0,J70,0)</f>
        <v>0</v>
      </c>
      <c r="AK70" s="21">
        <f>IF(AN70=12,J70,0)</f>
        <v>0</v>
      </c>
      <c r="AL70" s="21">
        <f>IF(AN70=21,J70,0)</f>
        <v>0</v>
      </c>
      <c r="AN70" s="21">
        <v>21</v>
      </c>
      <c r="AO70" s="21">
        <f>G70*0</f>
        <v>0</v>
      </c>
      <c r="AP70" s="21">
        <f>G70*(1-0)</f>
        <v>0</v>
      </c>
      <c r="AQ70" s="22" t="s">
        <v>80</v>
      </c>
      <c r="AV70" s="21">
        <f>ROUND(AW70+AX70,2)</f>
        <v>0</v>
      </c>
      <c r="AW70" s="21">
        <f>ROUND(F70*AO70,2)</f>
        <v>0</v>
      </c>
      <c r="AX70" s="21">
        <f>ROUND(F70*AP70,2)</f>
        <v>0</v>
      </c>
      <c r="AY70" s="22" t="s">
        <v>152</v>
      </c>
      <c r="AZ70" s="22" t="s">
        <v>100</v>
      </c>
      <c r="BA70" s="9" t="s">
        <v>56</v>
      </c>
      <c r="BC70" s="21">
        <f>AW70+AX70</f>
        <v>0</v>
      </c>
      <c r="BD70" s="21">
        <f>G70/(100-BE70)*100</f>
        <v>0</v>
      </c>
      <c r="BE70" s="21">
        <v>0</v>
      </c>
      <c r="BF70" s="21">
        <f>66</f>
        <v>66</v>
      </c>
      <c r="BH70" s="21">
        <f>F70*AO70</f>
        <v>0</v>
      </c>
      <c r="BI70" s="21">
        <f>F70*AP70</f>
        <v>0</v>
      </c>
      <c r="BJ70" s="21">
        <f>F70*G70</f>
        <v>0</v>
      </c>
      <c r="BK70" s="22" t="s">
        <v>57</v>
      </c>
      <c r="BL70" s="21"/>
      <c r="BW70" s="21">
        <v>21</v>
      </c>
      <c r="BX70" s="4" t="s">
        <v>168</v>
      </c>
    </row>
    <row r="71" spans="1:76" ht="14.4" x14ac:dyDescent="0.3">
      <c r="A71" s="2">
        <v>32</v>
      </c>
      <c r="B71" s="3" t="s">
        <v>169</v>
      </c>
      <c r="C71" s="121" t="s">
        <v>170</v>
      </c>
      <c r="D71" s="122"/>
      <c r="E71" s="67" t="s">
        <v>126</v>
      </c>
      <c r="F71" s="68">
        <v>472</v>
      </c>
      <c r="G71" s="69">
        <v>0</v>
      </c>
      <c r="H71" s="68">
        <f>ROUND(F71*AO71,2)</f>
        <v>0</v>
      </c>
      <c r="I71" s="68">
        <f>ROUND(F71*AP71,2)</f>
        <v>0</v>
      </c>
      <c r="J71" s="68">
        <f>ROUND(F71*G71,2)</f>
        <v>0</v>
      </c>
      <c r="K71" s="75"/>
      <c r="Z71" s="21">
        <f>ROUND(IF(AQ71="5",BJ71,0),2)</f>
        <v>0</v>
      </c>
      <c r="AB71" s="21">
        <f>ROUND(IF(AQ71="1",BH71,0),2)</f>
        <v>0</v>
      </c>
      <c r="AC71" s="21">
        <f>ROUND(IF(AQ71="1",BI71,0),2)</f>
        <v>0</v>
      </c>
      <c r="AD71" s="21">
        <f>ROUND(IF(AQ71="7",BH71,0),2)</f>
        <v>0</v>
      </c>
      <c r="AE71" s="21">
        <f>ROUND(IF(AQ71="7",BI71,0),2)</f>
        <v>0</v>
      </c>
      <c r="AF71" s="21">
        <f>ROUND(IF(AQ71="2",BH71,0),2)</f>
        <v>0</v>
      </c>
      <c r="AG71" s="21">
        <f>ROUND(IF(AQ71="2",BI71,0),2)</f>
        <v>0</v>
      </c>
      <c r="AH71" s="21">
        <f>ROUND(IF(AQ71="0",BJ71,0),2)</f>
        <v>0</v>
      </c>
      <c r="AI71" s="9" t="s">
        <v>47</v>
      </c>
      <c r="AJ71" s="21">
        <f>IF(AN71=0,J71,0)</f>
        <v>0</v>
      </c>
      <c r="AK71" s="21">
        <f>IF(AN71=12,J71,0)</f>
        <v>0</v>
      </c>
      <c r="AL71" s="21">
        <f>IF(AN71=21,J71,0)</f>
        <v>0</v>
      </c>
      <c r="AN71" s="21">
        <v>21</v>
      </c>
      <c r="AO71" s="21">
        <f>G71*0</f>
        <v>0</v>
      </c>
      <c r="AP71" s="21">
        <f>G71*(1-0)</f>
        <v>0</v>
      </c>
      <c r="AQ71" s="22" t="s">
        <v>80</v>
      </c>
      <c r="AV71" s="21">
        <f>ROUND(AW71+AX71,2)</f>
        <v>0</v>
      </c>
      <c r="AW71" s="21">
        <f>ROUND(F71*AO71,2)</f>
        <v>0</v>
      </c>
      <c r="AX71" s="21">
        <f>ROUND(F71*AP71,2)</f>
        <v>0</v>
      </c>
      <c r="AY71" s="22" t="s">
        <v>152</v>
      </c>
      <c r="AZ71" s="22" t="s">
        <v>100</v>
      </c>
      <c r="BA71" s="9" t="s">
        <v>56</v>
      </c>
      <c r="BC71" s="21">
        <f>AW71+AX71</f>
        <v>0</v>
      </c>
      <c r="BD71" s="21">
        <f>G71/(100-BE71)*100</f>
        <v>0</v>
      </c>
      <c r="BE71" s="21">
        <v>0</v>
      </c>
      <c r="BF71" s="21">
        <f>67</f>
        <v>67</v>
      </c>
      <c r="BH71" s="21">
        <f>F71*AO71</f>
        <v>0</v>
      </c>
      <c r="BI71" s="21">
        <f>F71*AP71</f>
        <v>0</v>
      </c>
      <c r="BJ71" s="21">
        <f>F71*G71</f>
        <v>0</v>
      </c>
      <c r="BK71" s="22" t="s">
        <v>57</v>
      </c>
      <c r="BL71" s="21"/>
      <c r="BW71" s="21">
        <v>21</v>
      </c>
      <c r="BX71" s="4" t="s">
        <v>170</v>
      </c>
    </row>
    <row r="72" spans="1:76" ht="17.25" customHeight="1" x14ac:dyDescent="0.3">
      <c r="A72" s="23"/>
      <c r="B72" s="24" t="s">
        <v>58</v>
      </c>
      <c r="C72" s="137" t="s">
        <v>171</v>
      </c>
      <c r="D72" s="138"/>
      <c r="E72" s="138"/>
      <c r="F72" s="138"/>
      <c r="G72" s="138"/>
      <c r="H72" s="138"/>
      <c r="I72" s="138"/>
      <c r="J72" s="138"/>
      <c r="K72" s="139"/>
      <c r="BX72" s="25" t="s">
        <v>171</v>
      </c>
    </row>
    <row r="73" spans="1:76" ht="14.4" x14ac:dyDescent="0.3">
      <c r="A73" s="2">
        <v>33</v>
      </c>
      <c r="B73" s="3" t="s">
        <v>172</v>
      </c>
      <c r="C73" s="121" t="s">
        <v>277</v>
      </c>
      <c r="D73" s="122"/>
      <c r="E73" s="67" t="s">
        <v>126</v>
      </c>
      <c r="F73" s="68">
        <v>-14.8</v>
      </c>
      <c r="G73" s="69">
        <v>0</v>
      </c>
      <c r="H73" s="68">
        <f>ROUND(F73*AO73,2)</f>
        <v>0</v>
      </c>
      <c r="I73" s="68">
        <f>ROUND(F73*AP73,2)</f>
        <v>0</v>
      </c>
      <c r="J73" s="68">
        <f>ROUND(F73*G73,2)</f>
        <v>0</v>
      </c>
      <c r="K73" s="75"/>
      <c r="Z73" s="21">
        <f>ROUND(IF(AQ73="5",BJ73,0),2)</f>
        <v>0</v>
      </c>
      <c r="AB73" s="21">
        <f>ROUND(IF(AQ73="1",BH73,0),2)</f>
        <v>0</v>
      </c>
      <c r="AC73" s="21">
        <f>ROUND(IF(AQ73="1",BI73,0),2)</f>
        <v>0</v>
      </c>
      <c r="AD73" s="21">
        <f>ROUND(IF(AQ73="7",BH73,0),2)</f>
        <v>0</v>
      </c>
      <c r="AE73" s="21">
        <f>ROUND(IF(AQ73="7",BI73,0),2)</f>
        <v>0</v>
      </c>
      <c r="AF73" s="21">
        <f>ROUND(IF(AQ73="2",BH73,0),2)</f>
        <v>0</v>
      </c>
      <c r="AG73" s="21">
        <f>ROUND(IF(AQ73="2",BI73,0),2)</f>
        <v>0</v>
      </c>
      <c r="AH73" s="21">
        <f>ROUND(IF(AQ73="0",BJ73,0),2)</f>
        <v>0</v>
      </c>
      <c r="AI73" s="9" t="s">
        <v>47</v>
      </c>
      <c r="AJ73" s="21">
        <f>IF(AN73=0,J73,0)</f>
        <v>0</v>
      </c>
      <c r="AK73" s="21">
        <f>IF(AN73=12,J73,0)</f>
        <v>0</v>
      </c>
      <c r="AL73" s="21">
        <f>IF(AN73=21,J73,0)</f>
        <v>0</v>
      </c>
      <c r="AN73" s="21">
        <v>21</v>
      </c>
      <c r="AO73" s="21">
        <f>G73*0</f>
        <v>0</v>
      </c>
      <c r="AP73" s="21">
        <f>G73*(1-0)</f>
        <v>0</v>
      </c>
      <c r="AQ73" s="22" t="s">
        <v>80</v>
      </c>
      <c r="AV73" s="21">
        <f>ROUND(AW73+AX73,2)</f>
        <v>0</v>
      </c>
      <c r="AW73" s="21">
        <f>ROUND(F73*AO73,2)</f>
        <v>0</v>
      </c>
      <c r="AX73" s="21">
        <f>ROUND(F73*AP73,2)</f>
        <v>0</v>
      </c>
      <c r="AY73" s="22" t="s">
        <v>152</v>
      </c>
      <c r="AZ73" s="22" t="s">
        <v>100</v>
      </c>
      <c r="BA73" s="9" t="s">
        <v>56</v>
      </c>
      <c r="BC73" s="21">
        <f>AW73+AX73</f>
        <v>0</v>
      </c>
      <c r="BD73" s="21">
        <f>G73/(100-BE73)*100</f>
        <v>0</v>
      </c>
      <c r="BE73" s="21">
        <v>0</v>
      </c>
      <c r="BF73" s="21">
        <f>69</f>
        <v>69</v>
      </c>
      <c r="BH73" s="21">
        <f>F73*AO73</f>
        <v>0</v>
      </c>
      <c r="BI73" s="21">
        <f>F73*AP73</f>
        <v>0</v>
      </c>
      <c r="BJ73" s="21">
        <f>F73*G73</f>
        <v>0</v>
      </c>
      <c r="BK73" s="22" t="s">
        <v>57</v>
      </c>
      <c r="BL73" s="21"/>
      <c r="BW73" s="21">
        <v>21</v>
      </c>
      <c r="BX73" s="4" t="s">
        <v>173</v>
      </c>
    </row>
    <row r="74" spans="1:76" ht="14.4" x14ac:dyDescent="0.3">
      <c r="A74" s="23"/>
      <c r="B74" s="24" t="s">
        <v>58</v>
      </c>
      <c r="C74" s="137" t="s">
        <v>333</v>
      </c>
      <c r="D74" s="138"/>
      <c r="E74" s="138"/>
      <c r="F74" s="138"/>
      <c r="G74" s="138"/>
      <c r="H74" s="138"/>
      <c r="I74" s="138"/>
      <c r="J74" s="138"/>
      <c r="K74" s="139"/>
      <c r="BX74" s="25" t="s">
        <v>174</v>
      </c>
    </row>
    <row r="75" spans="1:76" ht="14.4" x14ac:dyDescent="0.3">
      <c r="A75" s="2">
        <v>34</v>
      </c>
      <c r="B75" s="3" t="s">
        <v>175</v>
      </c>
      <c r="C75" s="121" t="s">
        <v>278</v>
      </c>
      <c r="D75" s="122"/>
      <c r="E75" s="67" t="s">
        <v>126</v>
      </c>
      <c r="F75" s="68">
        <v>-11.3</v>
      </c>
      <c r="G75" s="69">
        <v>0</v>
      </c>
      <c r="H75" s="68">
        <f>ROUND(F75*AO75,2)</f>
        <v>0</v>
      </c>
      <c r="I75" s="68">
        <f>ROUND(F75*AP75,2)</f>
        <v>0</v>
      </c>
      <c r="J75" s="68">
        <f>ROUND(F75*G75,2)</f>
        <v>0</v>
      </c>
      <c r="K75" s="75"/>
      <c r="Z75" s="21">
        <f>ROUND(IF(AQ75="5",BJ75,0),2)</f>
        <v>0</v>
      </c>
      <c r="AB75" s="21">
        <f>ROUND(IF(AQ75="1",BH75,0),2)</f>
        <v>0</v>
      </c>
      <c r="AC75" s="21">
        <f>ROUND(IF(AQ75="1",BI75,0),2)</f>
        <v>0</v>
      </c>
      <c r="AD75" s="21">
        <f>ROUND(IF(AQ75="7",BH75,0),2)</f>
        <v>0</v>
      </c>
      <c r="AE75" s="21">
        <f>ROUND(IF(AQ75="7",BI75,0),2)</f>
        <v>0</v>
      </c>
      <c r="AF75" s="21">
        <f>ROUND(IF(AQ75="2",BH75,0),2)</f>
        <v>0</v>
      </c>
      <c r="AG75" s="21">
        <f>ROUND(IF(AQ75="2",BI75,0),2)</f>
        <v>0</v>
      </c>
      <c r="AH75" s="21">
        <f>ROUND(IF(AQ75="0",BJ75,0),2)</f>
        <v>0</v>
      </c>
      <c r="AI75" s="9" t="s">
        <v>47</v>
      </c>
      <c r="AJ75" s="21">
        <f>IF(AN75=0,J75,0)</f>
        <v>0</v>
      </c>
      <c r="AK75" s="21">
        <f>IF(AN75=12,J75,0)</f>
        <v>0</v>
      </c>
      <c r="AL75" s="21">
        <f>IF(AN75=21,J75,0)</f>
        <v>0</v>
      </c>
      <c r="AN75" s="21">
        <v>21</v>
      </c>
      <c r="AO75" s="21">
        <f>G75*0</f>
        <v>0</v>
      </c>
      <c r="AP75" s="21">
        <f>G75*(1-0)</f>
        <v>0</v>
      </c>
      <c r="AQ75" s="22" t="s">
        <v>80</v>
      </c>
      <c r="AV75" s="21">
        <f>ROUND(AW75+AX75,2)</f>
        <v>0</v>
      </c>
      <c r="AW75" s="21">
        <f>ROUND(F75*AO75,2)</f>
        <v>0</v>
      </c>
      <c r="AX75" s="21">
        <f>ROUND(F75*AP75,2)</f>
        <v>0</v>
      </c>
      <c r="AY75" s="22" t="s">
        <v>152</v>
      </c>
      <c r="AZ75" s="22" t="s">
        <v>100</v>
      </c>
      <c r="BA75" s="9" t="s">
        <v>56</v>
      </c>
      <c r="BC75" s="21">
        <f>AW75+AX75</f>
        <v>0</v>
      </c>
      <c r="BD75" s="21">
        <f>G75/(100-BE75)*100</f>
        <v>0</v>
      </c>
      <c r="BE75" s="21">
        <v>0</v>
      </c>
      <c r="BF75" s="21">
        <f>71</f>
        <v>71</v>
      </c>
      <c r="BH75" s="21">
        <f>F75*AO75</f>
        <v>0</v>
      </c>
      <c r="BI75" s="21">
        <f>F75*AP75</f>
        <v>0</v>
      </c>
      <c r="BJ75" s="21">
        <f>F75*G75</f>
        <v>0</v>
      </c>
      <c r="BK75" s="22" t="s">
        <v>57</v>
      </c>
      <c r="BL75" s="21"/>
      <c r="BW75" s="21">
        <v>21</v>
      </c>
      <c r="BX75" s="4" t="s">
        <v>176</v>
      </c>
    </row>
    <row r="76" spans="1:76" ht="14.4" x14ac:dyDescent="0.3">
      <c r="A76" s="23"/>
      <c r="B76" s="24" t="s">
        <v>58</v>
      </c>
      <c r="C76" s="137" t="s">
        <v>333</v>
      </c>
      <c r="D76" s="138"/>
      <c r="E76" s="138"/>
      <c r="F76" s="138"/>
      <c r="G76" s="138"/>
      <c r="H76" s="138"/>
      <c r="I76" s="138"/>
      <c r="J76" s="138"/>
      <c r="K76" s="139"/>
      <c r="BX76" s="25" t="s">
        <v>174</v>
      </c>
    </row>
    <row r="77" spans="1:76" ht="14.4" x14ac:dyDescent="0.3">
      <c r="A77" s="26" t="s">
        <v>47</v>
      </c>
      <c r="B77" s="27" t="s">
        <v>177</v>
      </c>
      <c r="C77" s="109" t="s">
        <v>178</v>
      </c>
      <c r="D77" s="110"/>
      <c r="E77" s="28" t="s">
        <v>17</v>
      </c>
      <c r="F77" s="28" t="s">
        <v>17</v>
      </c>
      <c r="G77" s="28" t="s">
        <v>17</v>
      </c>
      <c r="H77" s="1">
        <f>H78+H81+H87+H90+H92</f>
        <v>0</v>
      </c>
      <c r="I77" s="1">
        <f>I78+I81+I87+I90+I92</f>
        <v>0</v>
      </c>
      <c r="J77" s="1">
        <f>J78+J81+J87+J90+J92</f>
        <v>0</v>
      </c>
      <c r="K77" s="61" t="s">
        <v>47</v>
      </c>
      <c r="AI77" s="9" t="s">
        <v>47</v>
      </c>
    </row>
    <row r="78" spans="1:76" ht="14.4" x14ac:dyDescent="0.3">
      <c r="A78" s="26" t="s">
        <v>47</v>
      </c>
      <c r="B78" s="27" t="s">
        <v>179</v>
      </c>
      <c r="C78" s="109" t="s">
        <v>180</v>
      </c>
      <c r="D78" s="110"/>
      <c r="E78" s="28" t="s">
        <v>17</v>
      </c>
      <c r="F78" s="28" t="s">
        <v>17</v>
      </c>
      <c r="G78" s="28" t="s">
        <v>17</v>
      </c>
      <c r="H78" s="1">
        <f>ROUND(SUM(H79:H80),2)</f>
        <v>0</v>
      </c>
      <c r="I78" s="1">
        <f>ROUND(SUM(I79:I80),2)</f>
        <v>0</v>
      </c>
      <c r="J78" s="1">
        <f>ROUND(SUM(J79:J80),2)</f>
        <v>0</v>
      </c>
      <c r="K78" s="61" t="s">
        <v>47</v>
      </c>
      <c r="AI78" s="9" t="s">
        <v>47</v>
      </c>
      <c r="AS78" s="1">
        <f>SUM(AJ79:AJ80)</f>
        <v>0</v>
      </c>
      <c r="AT78" s="1">
        <f>SUM(AK79:AK80)</f>
        <v>0</v>
      </c>
      <c r="AU78" s="1">
        <f>SUM(AL79:AL80)</f>
        <v>0</v>
      </c>
    </row>
    <row r="79" spans="1:76" ht="14.4" x14ac:dyDescent="0.3">
      <c r="A79" s="2">
        <v>35</v>
      </c>
      <c r="B79" s="3" t="s">
        <v>181</v>
      </c>
      <c r="C79" s="99" t="s">
        <v>287</v>
      </c>
      <c r="D79" s="136"/>
      <c r="E79" s="67" t="s">
        <v>183</v>
      </c>
      <c r="F79" s="68">
        <v>1</v>
      </c>
      <c r="G79" s="69">
        <v>0</v>
      </c>
      <c r="H79" s="21">
        <f>ROUND(F79*AO79,2)</f>
        <v>0</v>
      </c>
      <c r="I79" s="21">
        <f>ROUND(F79*AP79,2)</f>
        <v>0</v>
      </c>
      <c r="J79" s="21">
        <f>ROUND(F79*G79,2)</f>
        <v>0</v>
      </c>
      <c r="K79" s="60" t="s">
        <v>47</v>
      </c>
      <c r="Z79" s="21">
        <f>ROUND(IF(AQ79="5",BJ79,0),2)</f>
        <v>0</v>
      </c>
      <c r="AB79" s="21">
        <f>ROUND(IF(AQ79="1",BH79,0),2)</f>
        <v>0</v>
      </c>
      <c r="AC79" s="21">
        <f>ROUND(IF(AQ79="1",BI79,0),2)</f>
        <v>0</v>
      </c>
      <c r="AD79" s="21">
        <f>ROUND(IF(AQ79="7",BH79,0),2)</f>
        <v>0</v>
      </c>
      <c r="AE79" s="21">
        <f>ROUND(IF(AQ79="7",BI79,0),2)</f>
        <v>0</v>
      </c>
      <c r="AF79" s="21">
        <f>ROUND(IF(AQ79="2",BH79,0),2)</f>
        <v>0</v>
      </c>
      <c r="AG79" s="21">
        <f>ROUND(IF(AQ79="2",BI79,0),2)</f>
        <v>0</v>
      </c>
      <c r="AH79" s="21">
        <f>ROUND(IF(AQ79="0",BJ79,0),2)</f>
        <v>0</v>
      </c>
      <c r="AI79" s="9" t="s">
        <v>47</v>
      </c>
      <c r="AJ79" s="21">
        <f>IF(AN79=0,J79,0)</f>
        <v>0</v>
      </c>
      <c r="AK79" s="21">
        <f>IF(AN79=12,J79,0)</f>
        <v>0</v>
      </c>
      <c r="AL79" s="21">
        <f>IF(AN79=21,J79,0)</f>
        <v>0</v>
      </c>
      <c r="AN79" s="21">
        <v>21</v>
      </c>
      <c r="AO79" s="21">
        <f>G79*0</f>
        <v>0</v>
      </c>
      <c r="AP79" s="21">
        <f>G79*(1-0)</f>
        <v>0</v>
      </c>
      <c r="AQ79" s="22" t="s">
        <v>184</v>
      </c>
      <c r="AV79" s="21">
        <f>ROUND(AW79+AX79,2)</f>
        <v>0</v>
      </c>
      <c r="AW79" s="21">
        <f>ROUND(F79*AO79,2)</f>
        <v>0</v>
      </c>
      <c r="AX79" s="21">
        <f>ROUND(F79*AP79,2)</f>
        <v>0</v>
      </c>
      <c r="AY79" s="22" t="s">
        <v>185</v>
      </c>
      <c r="AZ79" s="22" t="s">
        <v>186</v>
      </c>
      <c r="BA79" s="9" t="s">
        <v>56</v>
      </c>
      <c r="BC79" s="21">
        <f>AW79+AX79</f>
        <v>0</v>
      </c>
      <c r="BD79" s="21">
        <f>G79/(100-BE79)*100</f>
        <v>0</v>
      </c>
      <c r="BE79" s="21">
        <v>0</v>
      </c>
      <c r="BF79" s="21">
        <f>75</f>
        <v>75</v>
      </c>
      <c r="BH79" s="21">
        <f>F79*AO79</f>
        <v>0</v>
      </c>
      <c r="BI79" s="21">
        <f>F79*AP79</f>
        <v>0</v>
      </c>
      <c r="BJ79" s="21">
        <f>F79*G79</f>
        <v>0</v>
      </c>
      <c r="BK79" s="22" t="s">
        <v>57</v>
      </c>
      <c r="BL79" s="21"/>
      <c r="BN79" s="21">
        <f>F79*G79</f>
        <v>0</v>
      </c>
      <c r="BW79" s="21">
        <v>21</v>
      </c>
      <c r="BX79" s="4" t="s">
        <v>182</v>
      </c>
    </row>
    <row r="80" spans="1:76" ht="14.4" x14ac:dyDescent="0.3">
      <c r="A80" s="2">
        <v>36</v>
      </c>
      <c r="B80" s="3" t="s">
        <v>187</v>
      </c>
      <c r="C80" s="99" t="s">
        <v>281</v>
      </c>
      <c r="D80" s="136"/>
      <c r="E80" s="67" t="s">
        <v>183</v>
      </c>
      <c r="F80" s="68">
        <v>1</v>
      </c>
      <c r="G80" s="69">
        <v>0</v>
      </c>
      <c r="H80" s="21">
        <f>ROUND(F80*AO80,2)</f>
        <v>0</v>
      </c>
      <c r="I80" s="21">
        <f>ROUND(F80*AP80,2)</f>
        <v>0</v>
      </c>
      <c r="J80" s="21">
        <f>ROUND(F80*G80,2)</f>
        <v>0</v>
      </c>
      <c r="K80" s="60" t="s">
        <v>47</v>
      </c>
      <c r="Z80" s="21">
        <f>ROUND(IF(AQ80="5",BJ80,0),2)</f>
        <v>0</v>
      </c>
      <c r="AB80" s="21">
        <f>ROUND(IF(AQ80="1",BH80,0),2)</f>
        <v>0</v>
      </c>
      <c r="AC80" s="21">
        <f>ROUND(IF(AQ80="1",BI80,0),2)</f>
        <v>0</v>
      </c>
      <c r="AD80" s="21">
        <f>ROUND(IF(AQ80="7",BH80,0),2)</f>
        <v>0</v>
      </c>
      <c r="AE80" s="21">
        <f>ROUND(IF(AQ80="7",BI80,0),2)</f>
        <v>0</v>
      </c>
      <c r="AF80" s="21">
        <f>ROUND(IF(AQ80="2",BH80,0),2)</f>
        <v>0</v>
      </c>
      <c r="AG80" s="21">
        <f>ROUND(IF(AQ80="2",BI80,0),2)</f>
        <v>0</v>
      </c>
      <c r="AH80" s="21">
        <f>ROUND(IF(AQ80="0",BJ80,0),2)</f>
        <v>0</v>
      </c>
      <c r="AI80" s="9" t="s">
        <v>47</v>
      </c>
      <c r="AJ80" s="21">
        <f>IF(AN80=0,J80,0)</f>
        <v>0</v>
      </c>
      <c r="AK80" s="21">
        <f>IF(AN80=12,J80,0)</f>
        <v>0</v>
      </c>
      <c r="AL80" s="21">
        <f>IF(AN80=21,J80,0)</f>
        <v>0</v>
      </c>
      <c r="AN80" s="21">
        <v>21</v>
      </c>
      <c r="AO80" s="21">
        <f>G80*0.082926829</f>
        <v>0</v>
      </c>
      <c r="AP80" s="21">
        <f>G80*(1-0.082926829)</f>
        <v>0</v>
      </c>
      <c r="AQ80" s="22" t="s">
        <v>184</v>
      </c>
      <c r="AV80" s="21">
        <f>ROUND(AW80+AX80,2)</f>
        <v>0</v>
      </c>
      <c r="AW80" s="21">
        <f>ROUND(F80*AO80,2)</f>
        <v>0</v>
      </c>
      <c r="AX80" s="21">
        <f>ROUND(F80*AP80,2)</f>
        <v>0</v>
      </c>
      <c r="AY80" s="22" t="s">
        <v>185</v>
      </c>
      <c r="AZ80" s="22" t="s">
        <v>186</v>
      </c>
      <c r="BA80" s="9" t="s">
        <v>56</v>
      </c>
      <c r="BC80" s="21">
        <f>AW80+AX80</f>
        <v>0</v>
      </c>
      <c r="BD80" s="21">
        <f>G80/(100-BE80)*100</f>
        <v>0</v>
      </c>
      <c r="BE80" s="21">
        <v>0</v>
      </c>
      <c r="BF80" s="21">
        <f>76</f>
        <v>76</v>
      </c>
      <c r="BH80" s="21">
        <f>F80*AO80</f>
        <v>0</v>
      </c>
      <c r="BI80" s="21">
        <f>F80*AP80</f>
        <v>0</v>
      </c>
      <c r="BJ80" s="21">
        <f>F80*G80</f>
        <v>0</v>
      </c>
      <c r="BK80" s="22" t="s">
        <v>57</v>
      </c>
      <c r="BL80" s="21"/>
      <c r="BN80" s="21">
        <f>F80*G80</f>
        <v>0</v>
      </c>
      <c r="BW80" s="21">
        <v>21</v>
      </c>
      <c r="BX80" s="4" t="s">
        <v>188</v>
      </c>
    </row>
    <row r="81" spans="1:76" ht="14.4" x14ac:dyDescent="0.3">
      <c r="A81" s="26" t="s">
        <v>47</v>
      </c>
      <c r="B81" s="27" t="s">
        <v>189</v>
      </c>
      <c r="C81" s="140" t="s">
        <v>190</v>
      </c>
      <c r="D81" s="141"/>
      <c r="E81" s="70" t="s">
        <v>17</v>
      </c>
      <c r="F81" s="70" t="s">
        <v>17</v>
      </c>
      <c r="G81" s="70" t="s">
        <v>17</v>
      </c>
      <c r="H81" s="1">
        <f>ROUND(SUM(H82:H86),2)</f>
        <v>0</v>
      </c>
      <c r="I81" s="1">
        <f>ROUND(SUM(I82:I86),2)</f>
        <v>0</v>
      </c>
      <c r="J81" s="1">
        <f>ROUND(SUM(J82:J86),2)</f>
        <v>0</v>
      </c>
      <c r="K81" s="61" t="s">
        <v>47</v>
      </c>
      <c r="AI81" s="9" t="s">
        <v>47</v>
      </c>
      <c r="AS81" s="1">
        <f>SUM(AJ82:AJ86)</f>
        <v>0</v>
      </c>
      <c r="AT81" s="1">
        <f>SUM(AK82:AK86)</f>
        <v>0</v>
      </c>
      <c r="AU81" s="1">
        <f>SUM(AL82:AL86)</f>
        <v>0</v>
      </c>
    </row>
    <row r="82" spans="1:76" ht="15" customHeight="1" x14ac:dyDescent="0.3">
      <c r="A82" s="2">
        <v>37</v>
      </c>
      <c r="B82" s="3" t="s">
        <v>191</v>
      </c>
      <c r="C82" s="99" t="s">
        <v>279</v>
      </c>
      <c r="D82" s="136"/>
      <c r="E82" s="67" t="s">
        <v>183</v>
      </c>
      <c r="F82" s="68">
        <v>1</v>
      </c>
      <c r="G82" s="69">
        <v>0</v>
      </c>
      <c r="H82" s="21">
        <f>ROUND(F82*AO82,2)</f>
        <v>0</v>
      </c>
      <c r="I82" s="21">
        <f>ROUND(F82*AP82,2)</f>
        <v>0</v>
      </c>
      <c r="J82" s="21">
        <f>ROUND(F82*G82,2)</f>
        <v>0</v>
      </c>
      <c r="K82" s="60" t="s">
        <v>47</v>
      </c>
      <c r="Z82" s="21">
        <f>ROUND(IF(AQ82="5",BJ82,0),2)</f>
        <v>0</v>
      </c>
      <c r="AB82" s="21">
        <f>ROUND(IF(AQ82="1",BH82,0),2)</f>
        <v>0</v>
      </c>
      <c r="AC82" s="21">
        <f>ROUND(IF(AQ82="1",BI82,0),2)</f>
        <v>0</v>
      </c>
      <c r="AD82" s="21">
        <f>ROUND(IF(AQ82="7",BH82,0),2)</f>
        <v>0</v>
      </c>
      <c r="AE82" s="21">
        <f>ROUND(IF(AQ82="7",BI82,0),2)</f>
        <v>0</v>
      </c>
      <c r="AF82" s="21">
        <f>ROUND(IF(AQ82="2",BH82,0),2)</f>
        <v>0</v>
      </c>
      <c r="AG82" s="21">
        <f>ROUND(IF(AQ82="2",BI82,0),2)</f>
        <v>0</v>
      </c>
      <c r="AH82" s="21">
        <f>ROUND(IF(AQ82="0",BJ82,0),2)</f>
        <v>0</v>
      </c>
      <c r="AI82" s="9" t="s">
        <v>47</v>
      </c>
      <c r="AJ82" s="21">
        <f>IF(AN82=0,J82,0)</f>
        <v>0</v>
      </c>
      <c r="AK82" s="21">
        <f>IF(AN82=12,J82,0)</f>
        <v>0</v>
      </c>
      <c r="AL82" s="21">
        <f>IF(AN82=21,J82,0)</f>
        <v>0</v>
      </c>
      <c r="AN82" s="21">
        <v>21</v>
      </c>
      <c r="AO82" s="21">
        <f>G82*0.579896907</f>
        <v>0</v>
      </c>
      <c r="AP82" s="21">
        <f>G82*(1-0.579896907)</f>
        <v>0</v>
      </c>
      <c r="AQ82" s="22" t="s">
        <v>184</v>
      </c>
      <c r="AV82" s="21">
        <f>ROUND(AW82+AX82,2)</f>
        <v>0</v>
      </c>
      <c r="AW82" s="21">
        <f>ROUND(F82*AO82,2)</f>
        <v>0</v>
      </c>
      <c r="AX82" s="21">
        <f>ROUND(F82*AP82,2)</f>
        <v>0</v>
      </c>
      <c r="AY82" s="22" t="s">
        <v>193</v>
      </c>
      <c r="AZ82" s="22" t="s">
        <v>186</v>
      </c>
      <c r="BA82" s="9" t="s">
        <v>56</v>
      </c>
      <c r="BC82" s="21">
        <f>AW82+AX82</f>
        <v>0</v>
      </c>
      <c r="BD82" s="21">
        <f>G82/(100-BE82)*100</f>
        <v>0</v>
      </c>
      <c r="BE82" s="21">
        <v>0</v>
      </c>
      <c r="BF82" s="21">
        <f>78</f>
        <v>78</v>
      </c>
      <c r="BH82" s="21">
        <f>F82*AO82</f>
        <v>0</v>
      </c>
      <c r="BI82" s="21">
        <f>F82*AP82</f>
        <v>0</v>
      </c>
      <c r="BJ82" s="21">
        <f>F82*G82</f>
        <v>0</v>
      </c>
      <c r="BK82" s="22" t="s">
        <v>57</v>
      </c>
      <c r="BL82" s="21"/>
      <c r="BO82" s="21">
        <f>F82*G82</f>
        <v>0</v>
      </c>
      <c r="BW82" s="21">
        <v>21</v>
      </c>
      <c r="BX82" s="4" t="s">
        <v>192</v>
      </c>
    </row>
    <row r="83" spans="1:76" ht="27" customHeight="1" x14ac:dyDescent="0.3">
      <c r="A83" s="2">
        <v>38</v>
      </c>
      <c r="B83" s="3" t="s">
        <v>194</v>
      </c>
      <c r="C83" s="99" t="s">
        <v>332</v>
      </c>
      <c r="D83" s="136"/>
      <c r="E83" s="67" t="s">
        <v>183</v>
      </c>
      <c r="F83" s="68">
        <v>1</v>
      </c>
      <c r="G83" s="69">
        <v>0</v>
      </c>
      <c r="H83" s="21">
        <f>ROUND(F83*AO83,2)</f>
        <v>0</v>
      </c>
      <c r="I83" s="21">
        <f>ROUND(F83*AP83,2)</f>
        <v>0</v>
      </c>
      <c r="J83" s="21">
        <f>ROUND(F83*G83,2)</f>
        <v>0</v>
      </c>
      <c r="K83" s="60" t="s">
        <v>47</v>
      </c>
      <c r="Z83" s="21">
        <f>ROUND(IF(AQ83="5",BJ83,0),2)</f>
        <v>0</v>
      </c>
      <c r="AB83" s="21">
        <f>ROUND(IF(AQ83="1",BH83,0),2)</f>
        <v>0</v>
      </c>
      <c r="AC83" s="21">
        <f>ROUND(IF(AQ83="1",BI83,0),2)</f>
        <v>0</v>
      </c>
      <c r="AD83" s="21">
        <f>ROUND(IF(AQ83="7",BH83,0),2)</f>
        <v>0</v>
      </c>
      <c r="AE83" s="21">
        <f>ROUND(IF(AQ83="7",BI83,0),2)</f>
        <v>0</v>
      </c>
      <c r="AF83" s="21">
        <f>ROUND(IF(AQ83="2",BH83,0),2)</f>
        <v>0</v>
      </c>
      <c r="AG83" s="21">
        <f>ROUND(IF(AQ83="2",BI83,0),2)</f>
        <v>0</v>
      </c>
      <c r="AH83" s="21">
        <f>ROUND(IF(AQ83="0",BJ83,0),2)</f>
        <v>0</v>
      </c>
      <c r="AI83" s="9" t="s">
        <v>47</v>
      </c>
      <c r="AJ83" s="21">
        <f>IF(AN83=0,J83,0)</f>
        <v>0</v>
      </c>
      <c r="AK83" s="21">
        <f>IF(AN83=12,J83,0)</f>
        <v>0</v>
      </c>
      <c r="AL83" s="21">
        <f>IF(AN83=21,J83,0)</f>
        <v>0</v>
      </c>
      <c r="AN83" s="21">
        <v>21</v>
      </c>
      <c r="AO83" s="21">
        <f>G83*0.739130435</f>
        <v>0</v>
      </c>
      <c r="AP83" s="21">
        <f>G83*(1-0.739130435)</f>
        <v>0</v>
      </c>
      <c r="AQ83" s="22" t="s">
        <v>184</v>
      </c>
      <c r="AV83" s="21">
        <f>ROUND(AW83+AX83,2)</f>
        <v>0</v>
      </c>
      <c r="AW83" s="21">
        <f>ROUND(F83*AO83,2)</f>
        <v>0</v>
      </c>
      <c r="AX83" s="21">
        <f>ROUND(F83*AP83,2)</f>
        <v>0</v>
      </c>
      <c r="AY83" s="22" t="s">
        <v>193</v>
      </c>
      <c r="AZ83" s="22" t="s">
        <v>186</v>
      </c>
      <c r="BA83" s="9" t="s">
        <v>56</v>
      </c>
      <c r="BC83" s="21">
        <f>AW83+AX83</f>
        <v>0</v>
      </c>
      <c r="BD83" s="21">
        <f>G83/(100-BE83)*100</f>
        <v>0</v>
      </c>
      <c r="BE83" s="21">
        <v>0</v>
      </c>
      <c r="BF83" s="21">
        <f>79</f>
        <v>79</v>
      </c>
      <c r="BH83" s="21">
        <f>F83*AO83</f>
        <v>0</v>
      </c>
      <c r="BI83" s="21">
        <f>F83*AP83</f>
        <v>0</v>
      </c>
      <c r="BJ83" s="21">
        <f>F83*G83</f>
        <v>0</v>
      </c>
      <c r="BK83" s="22" t="s">
        <v>57</v>
      </c>
      <c r="BL83" s="21"/>
      <c r="BO83" s="21">
        <f>F83*G83</f>
        <v>0</v>
      </c>
      <c r="BW83" s="21">
        <v>21</v>
      </c>
      <c r="BX83" s="4" t="s">
        <v>190</v>
      </c>
    </row>
    <row r="84" spans="1:76" ht="27" customHeight="1" x14ac:dyDescent="0.3">
      <c r="A84" s="2">
        <v>39</v>
      </c>
      <c r="B84" s="3" t="s">
        <v>195</v>
      </c>
      <c r="C84" s="99" t="s">
        <v>330</v>
      </c>
      <c r="D84" s="136"/>
      <c r="E84" s="67" t="s">
        <v>183</v>
      </c>
      <c r="F84" s="68">
        <v>1</v>
      </c>
      <c r="G84" s="69">
        <v>0</v>
      </c>
      <c r="H84" s="21">
        <f>ROUND(F84*AO84,2)</f>
        <v>0</v>
      </c>
      <c r="I84" s="21">
        <f>ROUND(F84*AP84,2)</f>
        <v>0</v>
      </c>
      <c r="J84" s="21">
        <f>ROUND(F84*G84,2)</f>
        <v>0</v>
      </c>
      <c r="K84" s="60" t="s">
        <v>47</v>
      </c>
      <c r="Z84" s="21">
        <f>ROUND(IF(AQ84="5",BJ84,0),2)</f>
        <v>0</v>
      </c>
      <c r="AB84" s="21">
        <f>ROUND(IF(AQ84="1",BH84,0),2)</f>
        <v>0</v>
      </c>
      <c r="AC84" s="21">
        <f>ROUND(IF(AQ84="1",BI84,0),2)</f>
        <v>0</v>
      </c>
      <c r="AD84" s="21">
        <f>ROUND(IF(AQ84="7",BH84,0),2)</f>
        <v>0</v>
      </c>
      <c r="AE84" s="21">
        <f>ROUND(IF(AQ84="7",BI84,0),2)</f>
        <v>0</v>
      </c>
      <c r="AF84" s="21">
        <f>ROUND(IF(AQ84="2",BH84,0),2)</f>
        <v>0</v>
      </c>
      <c r="AG84" s="21">
        <f>ROUND(IF(AQ84="2",BI84,0),2)</f>
        <v>0</v>
      </c>
      <c r="AH84" s="21">
        <f>ROUND(IF(AQ84="0",BJ84,0),2)</f>
        <v>0</v>
      </c>
      <c r="AI84" s="9" t="s">
        <v>47</v>
      </c>
      <c r="AJ84" s="21">
        <f>IF(AN84=0,J84,0)</f>
        <v>0</v>
      </c>
      <c r="AK84" s="21">
        <f>IF(AN84=12,J84,0)</f>
        <v>0</v>
      </c>
      <c r="AL84" s="21">
        <f>IF(AN84=21,J84,0)</f>
        <v>0</v>
      </c>
      <c r="AN84" s="21">
        <v>21</v>
      </c>
      <c r="AO84" s="21">
        <f>G84*0.103806228</f>
        <v>0</v>
      </c>
      <c r="AP84" s="21">
        <f>G84*(1-0.103806228)</f>
        <v>0</v>
      </c>
      <c r="AQ84" s="22" t="s">
        <v>184</v>
      </c>
      <c r="AV84" s="21">
        <f>ROUND(AW84+AX84,2)</f>
        <v>0</v>
      </c>
      <c r="AW84" s="21">
        <f>ROUND(F84*AO84,2)</f>
        <v>0</v>
      </c>
      <c r="AX84" s="21">
        <f>ROUND(F84*AP84,2)</f>
        <v>0</v>
      </c>
      <c r="AY84" s="22" t="s">
        <v>193</v>
      </c>
      <c r="AZ84" s="22" t="s">
        <v>186</v>
      </c>
      <c r="BA84" s="9" t="s">
        <v>56</v>
      </c>
      <c r="BC84" s="21">
        <f>AW84+AX84</f>
        <v>0</v>
      </c>
      <c r="BD84" s="21">
        <f>G84/(100-BE84)*100</f>
        <v>0</v>
      </c>
      <c r="BE84" s="21">
        <v>0</v>
      </c>
      <c r="BF84" s="21">
        <f>80</f>
        <v>80</v>
      </c>
      <c r="BH84" s="21">
        <f>F84*AO84</f>
        <v>0</v>
      </c>
      <c r="BI84" s="21">
        <f>F84*AP84</f>
        <v>0</v>
      </c>
      <c r="BJ84" s="21">
        <f>F84*G84</f>
        <v>0</v>
      </c>
      <c r="BK84" s="22" t="s">
        <v>57</v>
      </c>
      <c r="BL84" s="21"/>
      <c r="BO84" s="21">
        <f>F84*G84</f>
        <v>0</v>
      </c>
      <c r="BW84" s="21">
        <v>21</v>
      </c>
      <c r="BX84" s="4" t="s">
        <v>196</v>
      </c>
    </row>
    <row r="85" spans="1:76" ht="15" customHeight="1" x14ac:dyDescent="0.3">
      <c r="A85" s="2">
        <v>40</v>
      </c>
      <c r="B85" s="3" t="s">
        <v>197</v>
      </c>
      <c r="C85" s="99" t="s">
        <v>331</v>
      </c>
      <c r="D85" s="99"/>
      <c r="E85" s="67" t="s">
        <v>183</v>
      </c>
      <c r="F85" s="68">
        <v>1</v>
      </c>
      <c r="G85" s="69">
        <v>0</v>
      </c>
      <c r="H85" s="21">
        <f>ROUND(F85*AO85,2)</f>
        <v>0</v>
      </c>
      <c r="I85" s="21">
        <f>ROUND(F85*AP85,2)</f>
        <v>0</v>
      </c>
      <c r="J85" s="21">
        <f>ROUND(F85*G85,2)</f>
        <v>0</v>
      </c>
      <c r="K85" s="60" t="s">
        <v>47</v>
      </c>
      <c r="Z85" s="21">
        <f>ROUND(IF(AQ85="5",BJ85,0),2)</f>
        <v>0</v>
      </c>
      <c r="AB85" s="21">
        <f>ROUND(IF(AQ85="1",BH85,0),2)</f>
        <v>0</v>
      </c>
      <c r="AC85" s="21">
        <f>ROUND(IF(AQ85="1",BI85,0),2)</f>
        <v>0</v>
      </c>
      <c r="AD85" s="21">
        <f>ROUND(IF(AQ85="7",BH85,0),2)</f>
        <v>0</v>
      </c>
      <c r="AE85" s="21">
        <f>ROUND(IF(AQ85="7",BI85,0),2)</f>
        <v>0</v>
      </c>
      <c r="AF85" s="21">
        <f>ROUND(IF(AQ85="2",BH85,0),2)</f>
        <v>0</v>
      </c>
      <c r="AG85" s="21">
        <f>ROUND(IF(AQ85="2",BI85,0),2)</f>
        <v>0</v>
      </c>
      <c r="AH85" s="21">
        <f>ROUND(IF(AQ85="0",BJ85,0),2)</f>
        <v>0</v>
      </c>
      <c r="AI85" s="9" t="s">
        <v>47</v>
      </c>
      <c r="AJ85" s="21">
        <f>IF(AN85=0,J85,0)</f>
        <v>0</v>
      </c>
      <c r="AK85" s="21">
        <f>IF(AN85=12,J85,0)</f>
        <v>0</v>
      </c>
      <c r="AL85" s="21">
        <f>IF(AN85=21,J85,0)</f>
        <v>0</v>
      </c>
      <c r="AN85" s="21">
        <v>21</v>
      </c>
      <c r="AO85" s="21">
        <f>G85*0</f>
        <v>0</v>
      </c>
      <c r="AP85" s="21">
        <f>G85*(1-0)</f>
        <v>0</v>
      </c>
      <c r="AQ85" s="22" t="s">
        <v>184</v>
      </c>
      <c r="AV85" s="21">
        <f>ROUND(AW85+AX85,2)</f>
        <v>0</v>
      </c>
      <c r="AW85" s="21">
        <f>ROUND(F85*AO85,2)</f>
        <v>0</v>
      </c>
      <c r="AX85" s="21">
        <f>ROUND(F85*AP85,2)</f>
        <v>0</v>
      </c>
      <c r="AY85" s="22" t="s">
        <v>193</v>
      </c>
      <c r="AZ85" s="22" t="s">
        <v>186</v>
      </c>
      <c r="BA85" s="9" t="s">
        <v>56</v>
      </c>
      <c r="BC85" s="21">
        <f>AW85+AX85</f>
        <v>0</v>
      </c>
      <c r="BD85" s="21">
        <f>G85/(100-BE85)*100</f>
        <v>0</v>
      </c>
      <c r="BE85" s="21">
        <v>0</v>
      </c>
      <c r="BF85" s="21">
        <f>81</f>
        <v>81</v>
      </c>
      <c r="BH85" s="21">
        <f>F85*AO85</f>
        <v>0</v>
      </c>
      <c r="BI85" s="21">
        <f>F85*AP85</f>
        <v>0</v>
      </c>
      <c r="BJ85" s="21">
        <f>F85*G85</f>
        <v>0</v>
      </c>
      <c r="BK85" s="22" t="s">
        <v>57</v>
      </c>
      <c r="BL85" s="21"/>
      <c r="BO85" s="21">
        <f>F85*G85</f>
        <v>0</v>
      </c>
      <c r="BW85" s="21">
        <v>21</v>
      </c>
      <c r="BX85" s="4" t="s">
        <v>198</v>
      </c>
    </row>
    <row r="86" spans="1:76" ht="14.4" x14ac:dyDescent="0.3">
      <c r="A86" s="2">
        <v>41</v>
      </c>
      <c r="B86" s="3" t="s">
        <v>199</v>
      </c>
      <c r="C86" s="99" t="s">
        <v>334</v>
      </c>
      <c r="D86" s="136"/>
      <c r="E86" s="67" t="s">
        <v>183</v>
      </c>
      <c r="F86" s="68">
        <v>1</v>
      </c>
      <c r="G86" s="69">
        <v>0</v>
      </c>
      <c r="H86" s="21">
        <f>ROUND(F86*AO86,2)</f>
        <v>0</v>
      </c>
      <c r="I86" s="21">
        <f>ROUND(F86*AP86,2)</f>
        <v>0</v>
      </c>
      <c r="J86" s="21">
        <f>ROUND(F86*G86,2)</f>
        <v>0</v>
      </c>
      <c r="K86" s="60" t="s">
        <v>47</v>
      </c>
      <c r="Z86" s="21">
        <f>ROUND(IF(AQ86="5",BJ86,0),2)</f>
        <v>0</v>
      </c>
      <c r="AB86" s="21">
        <f>ROUND(IF(AQ86="1",BH86,0),2)</f>
        <v>0</v>
      </c>
      <c r="AC86" s="21">
        <f>ROUND(IF(AQ86="1",BI86,0),2)</f>
        <v>0</v>
      </c>
      <c r="AD86" s="21">
        <f>ROUND(IF(AQ86="7",BH86,0),2)</f>
        <v>0</v>
      </c>
      <c r="AE86" s="21">
        <f>ROUND(IF(AQ86="7",BI86,0),2)</f>
        <v>0</v>
      </c>
      <c r="AF86" s="21">
        <f>ROUND(IF(AQ86="2",BH86,0),2)</f>
        <v>0</v>
      </c>
      <c r="AG86" s="21">
        <f>ROUND(IF(AQ86="2",BI86,0),2)</f>
        <v>0</v>
      </c>
      <c r="AH86" s="21">
        <f>ROUND(IF(AQ86="0",BJ86,0),2)</f>
        <v>0</v>
      </c>
      <c r="AI86" s="9" t="s">
        <v>47</v>
      </c>
      <c r="AJ86" s="21">
        <f>IF(AN86=0,J86,0)</f>
        <v>0</v>
      </c>
      <c r="AK86" s="21">
        <f>IF(AN86=12,J86,0)</f>
        <v>0</v>
      </c>
      <c r="AL86" s="21">
        <f>IF(AN86=21,J86,0)</f>
        <v>0</v>
      </c>
      <c r="AN86" s="21">
        <v>21</v>
      </c>
      <c r="AO86" s="21">
        <f>G86*0</f>
        <v>0</v>
      </c>
      <c r="AP86" s="21">
        <f>G86*(1-0)</f>
        <v>0</v>
      </c>
      <c r="AQ86" s="22" t="s">
        <v>184</v>
      </c>
      <c r="AV86" s="21">
        <f>ROUND(AW86+AX86,2)</f>
        <v>0</v>
      </c>
      <c r="AW86" s="21">
        <f>ROUND(F86*AO86,2)</f>
        <v>0</v>
      </c>
      <c r="AX86" s="21">
        <f>ROUND(F86*AP86,2)</f>
        <v>0</v>
      </c>
      <c r="AY86" s="22" t="s">
        <v>193</v>
      </c>
      <c r="AZ86" s="22" t="s">
        <v>186</v>
      </c>
      <c r="BA86" s="9" t="s">
        <v>56</v>
      </c>
      <c r="BC86" s="21">
        <f>AW86+AX86</f>
        <v>0</v>
      </c>
      <c r="BD86" s="21">
        <f>G86/(100-BE86)*100</f>
        <v>0</v>
      </c>
      <c r="BE86" s="21">
        <v>0</v>
      </c>
      <c r="BF86" s="21">
        <f>82</f>
        <v>82</v>
      </c>
      <c r="BH86" s="21">
        <f>F86*AO86</f>
        <v>0</v>
      </c>
      <c r="BI86" s="21">
        <f>F86*AP86</f>
        <v>0</v>
      </c>
      <c r="BJ86" s="21">
        <f>F86*G86</f>
        <v>0</v>
      </c>
      <c r="BK86" s="22" t="s">
        <v>57</v>
      </c>
      <c r="BL86" s="21"/>
      <c r="BO86" s="21">
        <f>F86*G86</f>
        <v>0</v>
      </c>
      <c r="BW86" s="21">
        <v>21</v>
      </c>
      <c r="BX86" s="4" t="s">
        <v>200</v>
      </c>
    </row>
    <row r="87" spans="1:76" ht="14.4" x14ac:dyDescent="0.3">
      <c r="A87" s="26" t="s">
        <v>47</v>
      </c>
      <c r="B87" s="27" t="s">
        <v>201</v>
      </c>
      <c r="C87" s="140" t="s">
        <v>202</v>
      </c>
      <c r="D87" s="141"/>
      <c r="E87" s="70" t="s">
        <v>17</v>
      </c>
      <c r="F87" s="70" t="s">
        <v>17</v>
      </c>
      <c r="G87" s="70" t="s">
        <v>17</v>
      </c>
      <c r="H87" s="1">
        <f>ROUND(SUM(H88:H89),2)</f>
        <v>0</v>
      </c>
      <c r="I87" s="1">
        <f>ROUND(SUM(I88:I89),2)</f>
        <v>0</v>
      </c>
      <c r="J87" s="1">
        <f>ROUND(SUM(J88:J89),2)</f>
        <v>0</v>
      </c>
      <c r="K87" s="61" t="s">
        <v>47</v>
      </c>
      <c r="AI87" s="9" t="s">
        <v>47</v>
      </c>
      <c r="AS87" s="1">
        <f>SUM(AJ88:AJ89)</f>
        <v>0</v>
      </c>
      <c r="AT87" s="1">
        <f>SUM(AK88:AK89)</f>
        <v>0</v>
      </c>
      <c r="AU87" s="1">
        <f>SUM(AL88:AL89)</f>
        <v>0</v>
      </c>
    </row>
    <row r="88" spans="1:76" ht="27" customHeight="1" x14ac:dyDescent="0.3">
      <c r="A88" s="98">
        <v>42</v>
      </c>
      <c r="B88" s="67" t="s">
        <v>203</v>
      </c>
      <c r="C88" s="121" t="s">
        <v>335</v>
      </c>
      <c r="D88" s="122"/>
      <c r="E88" s="67" t="s">
        <v>183</v>
      </c>
      <c r="F88" s="68">
        <v>1</v>
      </c>
      <c r="G88" s="69">
        <v>0</v>
      </c>
      <c r="H88" s="21">
        <f>ROUND(F88*AO88,2)</f>
        <v>0</v>
      </c>
      <c r="I88" s="21">
        <f>ROUND(F88*AP88,2)</f>
        <v>0</v>
      </c>
      <c r="J88" s="21">
        <f>ROUND(F88*G88,2)</f>
        <v>0</v>
      </c>
      <c r="K88" s="60" t="s">
        <v>47</v>
      </c>
      <c r="Z88" s="21">
        <f>ROUND(IF(AQ88="5",BJ88,0),2)</f>
        <v>0</v>
      </c>
      <c r="AB88" s="21">
        <f>ROUND(IF(AQ88="1",BH88,0),2)</f>
        <v>0</v>
      </c>
      <c r="AC88" s="21">
        <f>ROUND(IF(AQ88="1",BI88,0),2)</f>
        <v>0</v>
      </c>
      <c r="AD88" s="21">
        <f>ROUND(IF(AQ88="7",BH88,0),2)</f>
        <v>0</v>
      </c>
      <c r="AE88" s="21">
        <f>ROUND(IF(AQ88="7",BI88,0),2)</f>
        <v>0</v>
      </c>
      <c r="AF88" s="21">
        <f>ROUND(IF(AQ88="2",BH88,0),2)</f>
        <v>0</v>
      </c>
      <c r="AG88" s="21">
        <f>ROUND(IF(AQ88="2",BI88,0),2)</f>
        <v>0</v>
      </c>
      <c r="AH88" s="21">
        <f>ROUND(IF(AQ88="0",BJ88,0),2)</f>
        <v>0</v>
      </c>
      <c r="AI88" s="9" t="s">
        <v>47</v>
      </c>
      <c r="AJ88" s="21">
        <f>IF(AN88=0,J88,0)</f>
        <v>0</v>
      </c>
      <c r="AK88" s="21">
        <f>IF(AN88=12,J88,0)</f>
        <v>0</v>
      </c>
      <c r="AL88" s="21">
        <f>IF(AN88=21,J88,0)</f>
        <v>0</v>
      </c>
      <c r="AN88" s="21">
        <v>21</v>
      </c>
      <c r="AO88" s="21">
        <f>G88*0</f>
        <v>0</v>
      </c>
      <c r="AP88" s="21">
        <f>G88*(1-0)</f>
        <v>0</v>
      </c>
      <c r="AQ88" s="22" t="s">
        <v>184</v>
      </c>
      <c r="AV88" s="21">
        <f>ROUND(AW88+AX88,2)</f>
        <v>0</v>
      </c>
      <c r="AW88" s="21">
        <f>ROUND(F88*AO88,2)</f>
        <v>0</v>
      </c>
      <c r="AX88" s="21">
        <f>ROUND(F88*AP88,2)</f>
        <v>0</v>
      </c>
      <c r="AY88" s="22" t="s">
        <v>205</v>
      </c>
      <c r="AZ88" s="22" t="s">
        <v>186</v>
      </c>
      <c r="BA88" s="9" t="s">
        <v>56</v>
      </c>
      <c r="BC88" s="21">
        <f>AW88+AX88</f>
        <v>0</v>
      </c>
      <c r="BD88" s="21">
        <f>G88/(100-BE88)*100</f>
        <v>0</v>
      </c>
      <c r="BE88" s="21">
        <v>0</v>
      </c>
      <c r="BF88" s="21">
        <f>84</f>
        <v>84</v>
      </c>
      <c r="BH88" s="21">
        <f>F88*AO88</f>
        <v>0</v>
      </c>
      <c r="BI88" s="21">
        <f>F88*AP88</f>
        <v>0</v>
      </c>
      <c r="BJ88" s="21">
        <f>F88*G88</f>
        <v>0</v>
      </c>
      <c r="BK88" s="22" t="s">
        <v>57</v>
      </c>
      <c r="BL88" s="21"/>
      <c r="BR88" s="21">
        <f>F88*G88</f>
        <v>0</v>
      </c>
      <c r="BW88" s="21">
        <v>21</v>
      </c>
      <c r="BX88" s="4" t="s">
        <v>204</v>
      </c>
    </row>
    <row r="89" spans="1:76" ht="15" customHeight="1" x14ac:dyDescent="0.3">
      <c r="A89" s="98">
        <v>43</v>
      </c>
      <c r="B89" s="67" t="s">
        <v>206</v>
      </c>
      <c r="C89" s="121" t="s">
        <v>336</v>
      </c>
      <c r="D89" s="122"/>
      <c r="E89" s="67" t="s">
        <v>183</v>
      </c>
      <c r="F89" s="68">
        <v>1</v>
      </c>
      <c r="G89" s="69">
        <v>0</v>
      </c>
      <c r="H89" s="21">
        <f>ROUND(F89*AO89,2)</f>
        <v>0</v>
      </c>
      <c r="I89" s="21">
        <f>ROUND(F89*AP89,2)</f>
        <v>0</v>
      </c>
      <c r="J89" s="21">
        <f>ROUND(F89*G89,2)</f>
        <v>0</v>
      </c>
      <c r="K89" s="60" t="s">
        <v>47</v>
      </c>
      <c r="Z89" s="21">
        <f>ROUND(IF(AQ89="5",BJ89,0),2)</f>
        <v>0</v>
      </c>
      <c r="AB89" s="21">
        <f>ROUND(IF(AQ89="1",BH89,0),2)</f>
        <v>0</v>
      </c>
      <c r="AC89" s="21">
        <f>ROUND(IF(AQ89="1",BI89,0),2)</f>
        <v>0</v>
      </c>
      <c r="AD89" s="21">
        <f>ROUND(IF(AQ89="7",BH89,0),2)</f>
        <v>0</v>
      </c>
      <c r="AE89" s="21">
        <f>ROUND(IF(AQ89="7",BI89,0),2)</f>
        <v>0</v>
      </c>
      <c r="AF89" s="21">
        <f>ROUND(IF(AQ89="2",BH89,0),2)</f>
        <v>0</v>
      </c>
      <c r="AG89" s="21">
        <f>ROUND(IF(AQ89="2",BI89,0),2)</f>
        <v>0</v>
      </c>
      <c r="AH89" s="21">
        <f>ROUND(IF(AQ89="0",BJ89,0),2)</f>
        <v>0</v>
      </c>
      <c r="AI89" s="9" t="s">
        <v>47</v>
      </c>
      <c r="AJ89" s="21">
        <f>IF(AN89=0,J89,0)</f>
        <v>0</v>
      </c>
      <c r="AK89" s="21">
        <f>IF(AN89=12,J89,0)</f>
        <v>0</v>
      </c>
      <c r="AL89" s="21">
        <f>IF(AN89=21,J89,0)</f>
        <v>0</v>
      </c>
      <c r="AN89" s="21">
        <v>21</v>
      </c>
      <c r="AO89" s="21">
        <f>G89*0</f>
        <v>0</v>
      </c>
      <c r="AP89" s="21">
        <f>G89*(1-0)</f>
        <v>0</v>
      </c>
      <c r="AQ89" s="22" t="s">
        <v>184</v>
      </c>
      <c r="AV89" s="21">
        <f>ROUND(AW89+AX89,2)</f>
        <v>0</v>
      </c>
      <c r="AW89" s="21">
        <f>ROUND(F89*AO89,2)</f>
        <v>0</v>
      </c>
      <c r="AX89" s="21">
        <f>ROUND(F89*AP89,2)</f>
        <v>0</v>
      </c>
      <c r="AY89" s="22" t="s">
        <v>205</v>
      </c>
      <c r="AZ89" s="22" t="s">
        <v>186</v>
      </c>
      <c r="BA89" s="9" t="s">
        <v>56</v>
      </c>
      <c r="BC89" s="21">
        <f>AW89+AX89</f>
        <v>0</v>
      </c>
      <c r="BD89" s="21">
        <f>G89/(100-BE89)*100</f>
        <v>0</v>
      </c>
      <c r="BE89" s="21">
        <v>0</v>
      </c>
      <c r="BF89" s="21">
        <f>85</f>
        <v>85</v>
      </c>
      <c r="BH89" s="21">
        <f>F89*AO89</f>
        <v>0</v>
      </c>
      <c r="BI89" s="21">
        <f>F89*AP89</f>
        <v>0</v>
      </c>
      <c r="BJ89" s="21">
        <f>F89*G89</f>
        <v>0</v>
      </c>
      <c r="BK89" s="22" t="s">
        <v>57</v>
      </c>
      <c r="BL89" s="21"/>
      <c r="BR89" s="21">
        <f>F89*G89</f>
        <v>0</v>
      </c>
      <c r="BW89" s="21">
        <v>21</v>
      </c>
      <c r="BX89" s="4" t="s">
        <v>207</v>
      </c>
    </row>
    <row r="90" spans="1:76" ht="14.4" x14ac:dyDescent="0.3">
      <c r="A90" s="26"/>
      <c r="B90" s="27" t="s">
        <v>208</v>
      </c>
      <c r="C90" s="140" t="s">
        <v>209</v>
      </c>
      <c r="D90" s="141"/>
      <c r="E90" s="70" t="s">
        <v>17</v>
      </c>
      <c r="F90" s="70" t="s">
        <v>17</v>
      </c>
      <c r="G90" s="70" t="s">
        <v>17</v>
      </c>
      <c r="H90" s="1">
        <f>ROUND(SUM(H91:H91),2)</f>
        <v>0</v>
      </c>
      <c r="I90" s="1">
        <f>ROUND(SUM(I91:I91),2)</f>
        <v>0</v>
      </c>
      <c r="J90" s="1">
        <f>ROUND(SUM(J91:J91),2)</f>
        <v>0</v>
      </c>
      <c r="K90" s="61" t="s">
        <v>47</v>
      </c>
      <c r="AI90" s="9" t="s">
        <v>47</v>
      </c>
      <c r="AS90" s="1">
        <f>SUM(AJ91:AJ91)</f>
        <v>0</v>
      </c>
      <c r="AT90" s="1">
        <f>SUM(AK91:AK91)</f>
        <v>0</v>
      </c>
      <c r="AU90" s="1">
        <f>SUM(AL91:AL91)</f>
        <v>0</v>
      </c>
    </row>
    <row r="91" spans="1:76" ht="14.4" x14ac:dyDescent="0.3">
      <c r="A91" s="2">
        <v>44</v>
      </c>
      <c r="B91" s="3" t="s">
        <v>210</v>
      </c>
      <c r="C91" s="99" t="s">
        <v>280</v>
      </c>
      <c r="D91" s="136"/>
      <c r="E91" s="67" t="s">
        <v>183</v>
      </c>
      <c r="F91" s="68">
        <v>1</v>
      </c>
      <c r="G91" s="69">
        <v>0</v>
      </c>
      <c r="H91" s="21">
        <f>ROUND(F91*AO91,2)</f>
        <v>0</v>
      </c>
      <c r="I91" s="21">
        <f>ROUND(F91*AP91,2)</f>
        <v>0</v>
      </c>
      <c r="J91" s="21">
        <f>ROUND(F91*G91,2)</f>
        <v>0</v>
      </c>
      <c r="K91" s="60" t="s">
        <v>47</v>
      </c>
      <c r="Z91" s="21">
        <f>ROUND(IF(AQ91="5",BJ91,0),2)</f>
        <v>0</v>
      </c>
      <c r="AB91" s="21">
        <f>ROUND(IF(AQ91="1",BH91,0),2)</f>
        <v>0</v>
      </c>
      <c r="AC91" s="21">
        <f>ROUND(IF(AQ91="1",BI91,0),2)</f>
        <v>0</v>
      </c>
      <c r="AD91" s="21">
        <f>ROUND(IF(AQ91="7",BH91,0),2)</f>
        <v>0</v>
      </c>
      <c r="AE91" s="21">
        <f>ROUND(IF(AQ91="7",BI91,0),2)</f>
        <v>0</v>
      </c>
      <c r="AF91" s="21">
        <f>ROUND(IF(AQ91="2",BH91,0),2)</f>
        <v>0</v>
      </c>
      <c r="AG91" s="21">
        <f>ROUND(IF(AQ91="2",BI91,0),2)</f>
        <v>0</v>
      </c>
      <c r="AH91" s="21">
        <f>ROUND(IF(AQ91="0",BJ91,0),2)</f>
        <v>0</v>
      </c>
      <c r="AI91" s="9" t="s">
        <v>47</v>
      </c>
      <c r="AJ91" s="21">
        <f>IF(AN91=0,J91,0)</f>
        <v>0</v>
      </c>
      <c r="AK91" s="21">
        <f>IF(AN91=12,J91,0)</f>
        <v>0</v>
      </c>
      <c r="AL91" s="21">
        <f>IF(AN91=21,J91,0)</f>
        <v>0</v>
      </c>
      <c r="AN91" s="21">
        <v>21</v>
      </c>
      <c r="AO91" s="21">
        <f>G91*0.416666667</f>
        <v>0</v>
      </c>
      <c r="AP91" s="21">
        <f>G91*(1-0.416666667)</f>
        <v>0</v>
      </c>
      <c r="AQ91" s="22" t="s">
        <v>184</v>
      </c>
      <c r="AV91" s="21">
        <f>ROUND(AW91+AX91,2)</f>
        <v>0</v>
      </c>
      <c r="AW91" s="21">
        <f>ROUND(F91*AO91,2)</f>
        <v>0</v>
      </c>
      <c r="AX91" s="21">
        <f>ROUND(F91*AP91,2)</f>
        <v>0</v>
      </c>
      <c r="AY91" s="22" t="s">
        <v>212</v>
      </c>
      <c r="AZ91" s="22" t="s">
        <v>186</v>
      </c>
      <c r="BA91" s="9" t="s">
        <v>56</v>
      </c>
      <c r="BC91" s="21">
        <f>AW91+AX91</f>
        <v>0</v>
      </c>
      <c r="BD91" s="21">
        <f>G91/(100-BE91)*100</f>
        <v>0</v>
      </c>
      <c r="BE91" s="21">
        <v>0</v>
      </c>
      <c r="BF91" s="21">
        <f>87</f>
        <v>87</v>
      </c>
      <c r="BH91" s="21">
        <f>F91*AO91</f>
        <v>0</v>
      </c>
      <c r="BI91" s="21">
        <f>F91*AP91</f>
        <v>0</v>
      </c>
      <c r="BJ91" s="21">
        <f>F91*G91</f>
        <v>0</v>
      </c>
      <c r="BK91" s="22" t="s">
        <v>57</v>
      </c>
      <c r="BL91" s="21"/>
      <c r="BS91" s="21">
        <f>F91*G91</f>
        <v>0</v>
      </c>
      <c r="BW91" s="21">
        <v>21</v>
      </c>
      <c r="BX91" s="4" t="s">
        <v>211</v>
      </c>
    </row>
    <row r="92" spans="1:76" ht="14.4" x14ac:dyDescent="0.3">
      <c r="A92" s="26"/>
      <c r="B92" s="27" t="s">
        <v>213</v>
      </c>
      <c r="C92" s="140" t="s">
        <v>214</v>
      </c>
      <c r="D92" s="141"/>
      <c r="E92" s="70" t="s">
        <v>17</v>
      </c>
      <c r="F92" s="70" t="s">
        <v>17</v>
      </c>
      <c r="G92" s="70" t="s">
        <v>17</v>
      </c>
      <c r="H92" s="1">
        <f>ROUND(SUM(H93:H93),2)</f>
        <v>0</v>
      </c>
      <c r="I92" s="1">
        <f>ROUND(SUM(I93:I93),2)</f>
        <v>0</v>
      </c>
      <c r="J92" s="1">
        <f>ROUND(SUM(J93:J93),2)</f>
        <v>0</v>
      </c>
      <c r="K92" s="61" t="s">
        <v>47</v>
      </c>
      <c r="AI92" s="9" t="s">
        <v>47</v>
      </c>
      <c r="AS92" s="1">
        <f>SUM(AJ93:AJ93)</f>
        <v>0</v>
      </c>
      <c r="AT92" s="1">
        <f>SUM(AK93:AK93)</f>
        <v>0</v>
      </c>
      <c r="AU92" s="1">
        <f>SUM(AL93:AL93)</f>
        <v>0</v>
      </c>
    </row>
    <row r="93" spans="1:76" ht="27" customHeight="1" x14ac:dyDescent="0.3">
      <c r="A93" s="29">
        <v>45</v>
      </c>
      <c r="B93" s="30" t="s">
        <v>215</v>
      </c>
      <c r="C93" s="153" t="s">
        <v>337</v>
      </c>
      <c r="D93" s="154"/>
      <c r="E93" s="71" t="s">
        <v>183</v>
      </c>
      <c r="F93" s="72">
        <v>1</v>
      </c>
      <c r="G93" s="73">
        <v>0</v>
      </c>
      <c r="H93" s="31">
        <f>ROUND(F93*AO93,2)</f>
        <v>0</v>
      </c>
      <c r="I93" s="31">
        <f>ROUND(F93*AP93,2)</f>
        <v>0</v>
      </c>
      <c r="J93" s="31">
        <f>ROUND(F93*G93,2)</f>
        <v>0</v>
      </c>
      <c r="K93" s="62" t="s">
        <v>47</v>
      </c>
      <c r="Z93" s="21">
        <f>ROUND(IF(AQ93="5",BJ93,0),2)</f>
        <v>0</v>
      </c>
      <c r="AB93" s="21">
        <f>ROUND(IF(AQ93="1",BH93,0),2)</f>
        <v>0</v>
      </c>
      <c r="AC93" s="21">
        <f>ROUND(IF(AQ93="1",BI93,0),2)</f>
        <v>0</v>
      </c>
      <c r="AD93" s="21">
        <f>ROUND(IF(AQ93="7",BH93,0),2)</f>
        <v>0</v>
      </c>
      <c r="AE93" s="21">
        <f>ROUND(IF(AQ93="7",BI93,0),2)</f>
        <v>0</v>
      </c>
      <c r="AF93" s="21">
        <f>ROUND(IF(AQ93="2",BH93,0),2)</f>
        <v>0</v>
      </c>
      <c r="AG93" s="21">
        <f>ROUND(IF(AQ93="2",BI93,0),2)</f>
        <v>0</v>
      </c>
      <c r="AH93" s="21">
        <f>ROUND(IF(AQ93="0",BJ93,0),2)</f>
        <v>0</v>
      </c>
      <c r="AI93" s="9" t="s">
        <v>47</v>
      </c>
      <c r="AJ93" s="21">
        <f>IF(AN93=0,J93,0)</f>
        <v>0</v>
      </c>
      <c r="AK93" s="21">
        <f>IF(AN93=12,J93,0)</f>
        <v>0</v>
      </c>
      <c r="AL93" s="21">
        <f>IF(AN93=21,J93,0)</f>
        <v>0</v>
      </c>
      <c r="AN93" s="21">
        <v>21</v>
      </c>
      <c r="AO93" s="21">
        <f>G93*0</f>
        <v>0</v>
      </c>
      <c r="AP93" s="21">
        <f>G93*(1-0)</f>
        <v>0</v>
      </c>
      <c r="AQ93" s="22" t="s">
        <v>184</v>
      </c>
      <c r="AV93" s="21">
        <f>ROUND(AW93+AX93,2)</f>
        <v>0</v>
      </c>
      <c r="AW93" s="21">
        <f>ROUND(F93*AO93,2)</f>
        <v>0</v>
      </c>
      <c r="AX93" s="21">
        <f>ROUND(F93*AP93,2)</f>
        <v>0</v>
      </c>
      <c r="AY93" s="22" t="s">
        <v>217</v>
      </c>
      <c r="AZ93" s="22" t="s">
        <v>186</v>
      </c>
      <c r="BA93" s="9" t="s">
        <v>56</v>
      </c>
      <c r="BC93" s="21">
        <f>AW93+AX93</f>
        <v>0</v>
      </c>
      <c r="BD93" s="21">
        <f>G93/(100-BE93)*100</f>
        <v>0</v>
      </c>
      <c r="BE93" s="21">
        <v>0</v>
      </c>
      <c r="BF93" s="21">
        <f>89</f>
        <v>89</v>
      </c>
      <c r="BH93" s="21">
        <f>F93*AO93</f>
        <v>0</v>
      </c>
      <c r="BI93" s="21">
        <f>F93*AP93</f>
        <v>0</v>
      </c>
      <c r="BJ93" s="21">
        <f>F93*G93</f>
        <v>0</v>
      </c>
      <c r="BK93" s="22" t="s">
        <v>57</v>
      </c>
      <c r="BL93" s="21"/>
      <c r="BU93" s="21">
        <f>F93*G93</f>
        <v>0</v>
      </c>
      <c r="BW93" s="21">
        <v>21</v>
      </c>
      <c r="BX93" s="4" t="s">
        <v>216</v>
      </c>
    </row>
    <row r="94" spans="1:76" ht="14.4" x14ac:dyDescent="0.3">
      <c r="H94" s="152" t="s">
        <v>218</v>
      </c>
      <c r="I94" s="152"/>
      <c r="J94" s="32">
        <f>ROUND(SUM(J12,J17,J19,J21,J23,J26,J32,J39,J47,J53,J78,J81,J87,J90,J92),2)</f>
        <v>0</v>
      </c>
    </row>
    <row r="95" spans="1:76" ht="14.4" x14ac:dyDescent="0.3">
      <c r="A95" s="33" t="s">
        <v>219</v>
      </c>
      <c r="F95" s="76"/>
    </row>
    <row r="96" spans="1:76" ht="12.75" customHeight="1" x14ac:dyDescent="0.3">
      <c r="A96" s="105" t="s">
        <v>47</v>
      </c>
      <c r="B96" s="103"/>
      <c r="C96" s="103"/>
      <c r="D96" s="103"/>
      <c r="E96" s="103"/>
      <c r="F96" s="103"/>
      <c r="G96" s="103"/>
      <c r="H96" s="103"/>
      <c r="I96" s="103"/>
      <c r="J96" s="103"/>
      <c r="K96" s="103"/>
    </row>
    <row r="97" spans="2:9" ht="15" customHeight="1" x14ac:dyDescent="0.3">
      <c r="C97" s="146" t="s">
        <v>304</v>
      </c>
      <c r="D97" s="147"/>
    </row>
    <row r="98" spans="2:9" ht="15" customHeight="1" x14ac:dyDescent="0.3">
      <c r="C98" s="80" t="s">
        <v>295</v>
      </c>
      <c r="D98" s="81"/>
      <c r="E98" s="82"/>
      <c r="F98" s="83"/>
    </row>
    <row r="99" spans="2:9" ht="15" customHeight="1" x14ac:dyDescent="0.3">
      <c r="B99" s="74"/>
      <c r="C99" s="100" t="s">
        <v>292</v>
      </c>
      <c r="D99" s="102"/>
      <c r="E99" s="86" t="s">
        <v>53</v>
      </c>
      <c r="F99" s="87">
        <f>F33+F35+F37</f>
        <v>400.79999999999995</v>
      </c>
    </row>
    <row r="100" spans="2:9" ht="15" customHeight="1" x14ac:dyDescent="0.3">
      <c r="B100" s="74"/>
      <c r="C100" s="100" t="s">
        <v>288</v>
      </c>
      <c r="D100" s="102"/>
      <c r="E100" s="86" t="s">
        <v>126</v>
      </c>
      <c r="F100" s="88">
        <v>815.5</v>
      </c>
    </row>
    <row r="101" spans="2:9" ht="15" customHeight="1" x14ac:dyDescent="0.3">
      <c r="B101" s="74"/>
      <c r="C101" s="100" t="s">
        <v>322</v>
      </c>
      <c r="D101" s="102"/>
      <c r="E101" s="86" t="s">
        <v>126</v>
      </c>
      <c r="F101" s="88">
        <v>800</v>
      </c>
    </row>
    <row r="102" spans="2:9" ht="15" customHeight="1" x14ac:dyDescent="0.3">
      <c r="B102" s="74"/>
      <c r="C102" s="148" t="s">
        <v>323</v>
      </c>
      <c r="D102" s="149"/>
      <c r="E102" s="91" t="s">
        <v>126</v>
      </c>
      <c r="F102" s="92">
        <v>19</v>
      </c>
      <c r="G102" s="74" t="s">
        <v>302</v>
      </c>
      <c r="H102" s="95"/>
      <c r="I102" s="74"/>
    </row>
    <row r="103" spans="2:9" ht="15" customHeight="1" x14ac:dyDescent="0.3">
      <c r="C103" s="150"/>
      <c r="D103" s="151"/>
      <c r="E103" s="93"/>
      <c r="F103" s="93"/>
      <c r="H103" s="95"/>
    </row>
    <row r="104" spans="2:9" ht="15" customHeight="1" x14ac:dyDescent="0.3">
      <c r="B104" s="74"/>
      <c r="C104" s="144" t="s">
        <v>289</v>
      </c>
      <c r="D104" s="145"/>
      <c r="E104" s="82"/>
      <c r="F104" s="83">
        <f>F105+F106</f>
        <v>2413</v>
      </c>
      <c r="H104" s="95"/>
    </row>
    <row r="105" spans="2:9" ht="15" customHeight="1" x14ac:dyDescent="0.3">
      <c r="B105" s="74"/>
      <c r="C105" s="84" t="s">
        <v>293</v>
      </c>
      <c r="D105" s="85"/>
      <c r="E105" s="86"/>
      <c r="F105" s="88">
        <v>1941.3</v>
      </c>
      <c r="H105" s="95"/>
    </row>
    <row r="106" spans="2:9" ht="15" customHeight="1" x14ac:dyDescent="0.3">
      <c r="B106" s="74"/>
      <c r="C106" s="84" t="s">
        <v>294</v>
      </c>
      <c r="D106" s="85"/>
      <c r="E106" s="86"/>
      <c r="F106" s="88">
        <v>471.7</v>
      </c>
      <c r="H106" s="95"/>
    </row>
    <row r="107" spans="2:9" ht="15" customHeight="1" x14ac:dyDescent="0.3">
      <c r="B107" s="74"/>
      <c r="C107" s="100" t="s">
        <v>290</v>
      </c>
      <c r="D107" s="102"/>
      <c r="E107" s="86" t="s">
        <v>126</v>
      </c>
      <c r="F107" s="87">
        <f>F110+F108+F109</f>
        <v>2413</v>
      </c>
      <c r="H107" s="95"/>
    </row>
    <row r="108" spans="2:9" ht="15" customHeight="1" x14ac:dyDescent="0.3">
      <c r="B108" s="74"/>
      <c r="C108" s="100" t="s">
        <v>324</v>
      </c>
      <c r="D108" s="101"/>
      <c r="E108" s="86" t="s">
        <v>126</v>
      </c>
      <c r="F108" s="88">
        <f>F106</f>
        <v>471.7</v>
      </c>
      <c r="G108" s="74" t="s">
        <v>300</v>
      </c>
      <c r="H108" s="95"/>
    </row>
    <row r="109" spans="2:9" ht="15" customHeight="1" x14ac:dyDescent="0.3">
      <c r="B109" s="74"/>
      <c r="C109" s="100" t="s">
        <v>325</v>
      </c>
      <c r="D109" s="101"/>
      <c r="E109" s="86" t="s">
        <v>126</v>
      </c>
      <c r="F109" s="88">
        <f>1013-F108</f>
        <v>541.29999999999995</v>
      </c>
      <c r="G109" s="74" t="s">
        <v>300</v>
      </c>
      <c r="H109" s="95"/>
    </row>
    <row r="110" spans="2:9" ht="15" customHeight="1" x14ac:dyDescent="0.3">
      <c r="B110" s="74"/>
      <c r="C110" s="100" t="s">
        <v>326</v>
      </c>
      <c r="D110" s="102"/>
      <c r="E110" s="86" t="s">
        <v>126</v>
      </c>
      <c r="F110" s="88">
        <v>1400</v>
      </c>
      <c r="H110" s="95"/>
    </row>
    <row r="111" spans="2:9" ht="15" customHeight="1" x14ac:dyDescent="0.3">
      <c r="B111" s="74"/>
      <c r="C111" s="100" t="s">
        <v>338</v>
      </c>
      <c r="D111" s="102"/>
      <c r="E111" s="86" t="s">
        <v>126</v>
      </c>
      <c r="F111" s="88">
        <v>1180</v>
      </c>
      <c r="H111" s="95"/>
    </row>
    <row r="112" spans="2:9" ht="27" customHeight="1" x14ac:dyDescent="0.3">
      <c r="B112" s="74"/>
      <c r="C112" s="100" t="s">
        <v>339</v>
      </c>
      <c r="D112" s="102"/>
      <c r="E112" s="86" t="s">
        <v>126</v>
      </c>
      <c r="F112" s="88">
        <f>F110-F111</f>
        <v>220</v>
      </c>
      <c r="G112" s="74" t="s">
        <v>301</v>
      </c>
      <c r="H112" s="95"/>
    </row>
    <row r="113" spans="2:9" ht="15" customHeight="1" x14ac:dyDescent="0.3">
      <c r="B113" s="74"/>
      <c r="C113" s="89"/>
      <c r="D113" s="90"/>
      <c r="E113" s="91"/>
      <c r="F113" s="92"/>
      <c r="G113" s="74"/>
      <c r="H113" s="95"/>
      <c r="I113" s="74"/>
    </row>
    <row r="114" spans="2:9" ht="15" customHeight="1" x14ac:dyDescent="0.3">
      <c r="C114" s="99"/>
      <c r="D114" s="136"/>
      <c r="E114" s="93"/>
      <c r="F114" s="94"/>
      <c r="H114" s="95"/>
    </row>
    <row r="115" spans="2:9" ht="15" customHeight="1" x14ac:dyDescent="0.3">
      <c r="C115" s="144" t="s">
        <v>291</v>
      </c>
      <c r="D115" s="145"/>
      <c r="E115" s="82"/>
      <c r="F115" s="83"/>
      <c r="H115" s="95"/>
    </row>
    <row r="116" spans="2:9" ht="15" customHeight="1" x14ac:dyDescent="0.3">
      <c r="C116" s="100" t="s">
        <v>328</v>
      </c>
      <c r="D116" s="101"/>
      <c r="E116" s="86" t="s">
        <v>126</v>
      </c>
      <c r="F116" s="88">
        <v>12</v>
      </c>
      <c r="G116" s="74" t="s">
        <v>317</v>
      </c>
      <c r="H116" s="95"/>
    </row>
    <row r="117" spans="2:9" ht="15" customHeight="1" x14ac:dyDescent="0.3">
      <c r="C117" s="100" t="s">
        <v>327</v>
      </c>
      <c r="D117" s="102"/>
      <c r="E117" s="86" t="s">
        <v>126</v>
      </c>
      <c r="F117" s="88">
        <f>F118+F119</f>
        <v>259</v>
      </c>
      <c r="H117" s="95"/>
    </row>
    <row r="118" spans="2:9" ht="15" customHeight="1" x14ac:dyDescent="0.3">
      <c r="C118" s="100" t="s">
        <v>296</v>
      </c>
      <c r="D118" s="102"/>
      <c r="E118" s="86" t="s">
        <v>126</v>
      </c>
      <c r="F118" s="88">
        <v>115</v>
      </c>
      <c r="H118" s="95"/>
    </row>
    <row r="119" spans="2:9" ht="15" customHeight="1" x14ac:dyDescent="0.3">
      <c r="C119" s="100" t="s">
        <v>297</v>
      </c>
      <c r="D119" s="102"/>
      <c r="E119" s="86" t="s">
        <v>126</v>
      </c>
      <c r="F119" s="88">
        <v>144</v>
      </c>
      <c r="G119" s="74" t="s">
        <v>303</v>
      </c>
      <c r="H119" s="95"/>
      <c r="I119" s="74"/>
    </row>
    <row r="120" spans="2:9" ht="15" customHeight="1" x14ac:dyDescent="0.3">
      <c r="C120" s="89"/>
      <c r="D120" s="90"/>
      <c r="E120" s="91"/>
      <c r="F120" s="92"/>
      <c r="H120" s="95"/>
    </row>
    <row r="121" spans="2:9" ht="15" customHeight="1" x14ac:dyDescent="0.3">
      <c r="C121" s="78"/>
      <c r="D121" s="79"/>
      <c r="E121" s="93"/>
      <c r="F121" s="93"/>
      <c r="H121" s="95"/>
    </row>
    <row r="122" spans="2:9" ht="15" customHeight="1" x14ac:dyDescent="0.3">
      <c r="C122" s="80" t="s">
        <v>299</v>
      </c>
      <c r="D122" s="81"/>
      <c r="E122" s="82"/>
      <c r="F122" s="83"/>
      <c r="H122" s="95"/>
    </row>
    <row r="123" spans="2:9" ht="15" customHeight="1" x14ac:dyDescent="0.3">
      <c r="C123" s="89" t="s">
        <v>305</v>
      </c>
      <c r="D123" s="90"/>
      <c r="E123" s="91" t="s">
        <v>126</v>
      </c>
      <c r="F123" s="92">
        <v>2.2999999999999998</v>
      </c>
      <c r="G123" s="74" t="s">
        <v>318</v>
      </c>
      <c r="H123" s="95"/>
      <c r="I123" s="74"/>
    </row>
    <row r="124" spans="2:9" ht="15" customHeight="1" x14ac:dyDescent="0.3">
      <c r="C124" s="78"/>
      <c r="D124" s="79"/>
      <c r="E124" s="93"/>
      <c r="F124" s="93"/>
    </row>
    <row r="125" spans="2:9" ht="15" customHeight="1" x14ac:dyDescent="0.3">
      <c r="C125" s="99"/>
      <c r="D125" s="99"/>
      <c r="E125" s="93"/>
      <c r="F125" s="93"/>
    </row>
    <row r="126" spans="2:9" ht="15" customHeight="1" x14ac:dyDescent="0.3">
      <c r="C126" s="65"/>
      <c r="D126" s="66"/>
    </row>
    <row r="127" spans="2:9" ht="15" customHeight="1" x14ac:dyDescent="0.3">
      <c r="C127" s="65"/>
      <c r="D127" s="66"/>
    </row>
    <row r="128" spans="2:9" ht="15" customHeight="1" x14ac:dyDescent="0.3">
      <c r="C128" s="65"/>
      <c r="D128" s="66"/>
    </row>
    <row r="130" spans="1:6" ht="15" customHeight="1" x14ac:dyDescent="0.3">
      <c r="F130" s="76"/>
    </row>
    <row r="136" spans="1:6" ht="15" customHeight="1" x14ac:dyDescent="0.3">
      <c r="A136" s="74"/>
      <c r="B136" s="74"/>
      <c r="C136" s="74"/>
    </row>
    <row r="142" spans="1:6" ht="15" customHeight="1" x14ac:dyDescent="0.3">
      <c r="A142" s="74"/>
      <c r="B142" s="74"/>
      <c r="C142" s="74"/>
    </row>
  </sheetData>
  <mergeCells count="132">
    <mergeCell ref="H94:I94"/>
    <mergeCell ref="A96:K96"/>
    <mergeCell ref="C89:D89"/>
    <mergeCell ref="C90:D90"/>
    <mergeCell ref="C91:D91"/>
    <mergeCell ref="C92:D92"/>
    <mergeCell ref="C93:D93"/>
    <mergeCell ref="C84:D84"/>
    <mergeCell ref="C125:D125"/>
    <mergeCell ref="C114:D114"/>
    <mergeCell ref="C115:D115"/>
    <mergeCell ref="C97:D97"/>
    <mergeCell ref="C99:D99"/>
    <mergeCell ref="C100:D100"/>
    <mergeCell ref="C101:D101"/>
    <mergeCell ref="C102:D102"/>
    <mergeCell ref="C103:D103"/>
    <mergeCell ref="C104:D104"/>
    <mergeCell ref="C107:D107"/>
    <mergeCell ref="C110:D110"/>
    <mergeCell ref="C79:D79"/>
    <mergeCell ref="C80:D80"/>
    <mergeCell ref="C81:D81"/>
    <mergeCell ref="C82:D82"/>
    <mergeCell ref="C83:D83"/>
    <mergeCell ref="C74:K74"/>
    <mergeCell ref="C75:D75"/>
    <mergeCell ref="C76:K76"/>
    <mergeCell ref="C77:D77"/>
    <mergeCell ref="C78:D78"/>
    <mergeCell ref="C73:D73"/>
    <mergeCell ref="C52:D52"/>
    <mergeCell ref="C53:D53"/>
    <mergeCell ref="C54:D54"/>
    <mergeCell ref="C55:K55"/>
    <mergeCell ref="C56:D56"/>
    <mergeCell ref="C47:D47"/>
    <mergeCell ref="C48:D48"/>
    <mergeCell ref="C49:K49"/>
    <mergeCell ref="C50:D50"/>
    <mergeCell ref="C51:K51"/>
    <mergeCell ref="C57:D57"/>
    <mergeCell ref="C58:D58"/>
    <mergeCell ref="C62:D62"/>
    <mergeCell ref="C66:D66"/>
    <mergeCell ref="C68:D68"/>
    <mergeCell ref="C69:K69"/>
    <mergeCell ref="C59:D59"/>
    <mergeCell ref="C60:D60"/>
    <mergeCell ref="C61:K61"/>
    <mergeCell ref="C70:D70"/>
    <mergeCell ref="C63:K63"/>
    <mergeCell ref="C67:K67"/>
    <mergeCell ref="C64:D64"/>
    <mergeCell ref="C45:K45"/>
    <mergeCell ref="C46:D46"/>
    <mergeCell ref="C40:D40"/>
    <mergeCell ref="C41:K41"/>
    <mergeCell ref="C42:D42"/>
    <mergeCell ref="C43:K43"/>
    <mergeCell ref="C44:D44"/>
    <mergeCell ref="C71:D71"/>
    <mergeCell ref="C72:K72"/>
    <mergeCell ref="C65:K65"/>
    <mergeCell ref="C38:K38"/>
    <mergeCell ref="C23:D23"/>
    <mergeCell ref="C24:D24"/>
    <mergeCell ref="C39:D39"/>
    <mergeCell ref="C30:K30"/>
    <mergeCell ref="C31:D31"/>
    <mergeCell ref="C32:D32"/>
    <mergeCell ref="C33:D33"/>
    <mergeCell ref="C34:K34"/>
    <mergeCell ref="G2:G3"/>
    <mergeCell ref="G4:G5"/>
    <mergeCell ref="G6:G7"/>
    <mergeCell ref="C35:D35"/>
    <mergeCell ref="C36:K36"/>
    <mergeCell ref="C25:D25"/>
    <mergeCell ref="C26:D26"/>
    <mergeCell ref="C27:D27"/>
    <mergeCell ref="C37:D37"/>
    <mergeCell ref="C28:K28"/>
    <mergeCell ref="C29:D29"/>
    <mergeCell ref="C20:D20"/>
    <mergeCell ref="C21:D21"/>
    <mergeCell ref="C22:D22"/>
    <mergeCell ref="A1:K1"/>
    <mergeCell ref="A2:B3"/>
    <mergeCell ref="A4:B5"/>
    <mergeCell ref="A6:B7"/>
    <mergeCell ref="A8:B9"/>
    <mergeCell ref="E2:F3"/>
    <mergeCell ref="E4:F5"/>
    <mergeCell ref="E6:F7"/>
    <mergeCell ref="E8:F9"/>
    <mergeCell ref="H2:H3"/>
    <mergeCell ref="H4:H5"/>
    <mergeCell ref="H6:H7"/>
    <mergeCell ref="H8:H9"/>
    <mergeCell ref="C2:D3"/>
    <mergeCell ref="C4:D5"/>
    <mergeCell ref="C6:D7"/>
    <mergeCell ref="I2:K3"/>
    <mergeCell ref="I4:K5"/>
    <mergeCell ref="I6:K7"/>
    <mergeCell ref="G8:G9"/>
    <mergeCell ref="C15:D15"/>
    <mergeCell ref="C16:K16"/>
    <mergeCell ref="C17:D17"/>
    <mergeCell ref="C18:D18"/>
    <mergeCell ref="C19:D19"/>
    <mergeCell ref="C11:D11"/>
    <mergeCell ref="H10:J10"/>
    <mergeCell ref="C12:D12"/>
    <mergeCell ref="C13:D13"/>
    <mergeCell ref="C14:K14"/>
    <mergeCell ref="C10:D10"/>
    <mergeCell ref="I8:K9"/>
    <mergeCell ref="C8:D9"/>
    <mergeCell ref="C85:D85"/>
    <mergeCell ref="C116:D116"/>
    <mergeCell ref="C108:D108"/>
    <mergeCell ref="C109:D109"/>
    <mergeCell ref="C117:D117"/>
    <mergeCell ref="C118:D118"/>
    <mergeCell ref="C119:D119"/>
    <mergeCell ref="C111:D111"/>
    <mergeCell ref="C112:D112"/>
    <mergeCell ref="C86:D86"/>
    <mergeCell ref="C87:D87"/>
    <mergeCell ref="C88:D88"/>
  </mergeCells>
  <pageMargins left="0.393999993801117" right="0.393999993801117" top="0.59100002050399802" bottom="0.59100002050399802" header="0" footer="0"/>
  <pageSetup scale="70" fitToHeight="0" orientation="landscape" r:id="rId1"/>
  <rowBreaks count="2" manualBreakCount="2">
    <brk id="76" max="10" man="1"/>
    <brk id="94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37"/>
  <sheetViews>
    <sheetView view="pageBreakPreview" zoomScaleNormal="100" zoomScaleSheetLayoutView="100" workbookViewId="0">
      <selection activeCell="I25" sqref="I25"/>
    </sheetView>
  </sheetViews>
  <sheetFormatPr defaultColWidth="12.109375" defaultRowHeight="15" customHeight="1" x14ac:dyDescent="0.3"/>
  <cols>
    <col min="1" max="1" width="9.109375" customWidth="1"/>
    <col min="2" max="2" width="12.88671875" customWidth="1"/>
    <col min="3" max="3" width="27.109375" customWidth="1"/>
    <col min="4" max="4" width="10" customWidth="1"/>
    <col min="5" max="5" width="14" customWidth="1"/>
    <col min="6" max="6" width="27.109375" customWidth="1"/>
    <col min="7" max="7" width="9.109375" customWidth="1"/>
    <col min="8" max="8" width="12.88671875" customWidth="1"/>
    <col min="9" max="9" width="27.109375" customWidth="1"/>
  </cols>
  <sheetData>
    <row r="1" spans="1:9" ht="54.75" customHeight="1" x14ac:dyDescent="0.3">
      <c r="A1" s="155" t="s">
        <v>220</v>
      </c>
      <c r="B1" s="123"/>
      <c r="C1" s="123"/>
      <c r="D1" s="123"/>
      <c r="E1" s="123"/>
      <c r="F1" s="123"/>
      <c r="G1" s="123"/>
      <c r="H1" s="123"/>
      <c r="I1" s="123"/>
    </row>
    <row r="2" spans="1:9" ht="14.4" x14ac:dyDescent="0.3">
      <c r="A2" s="124" t="s">
        <v>1</v>
      </c>
      <c r="B2" s="125"/>
      <c r="C2" s="130" t="str">
        <f>'Stavební rozpočet'!C2</f>
        <v>Odstranění objektu Pilnice - Mariánské Lázně č. p. 205/3</v>
      </c>
      <c r="D2" s="131"/>
      <c r="E2" s="129" t="s">
        <v>4</v>
      </c>
      <c r="F2" s="129" t="str">
        <f>'Stavební rozpočet'!I2</f>
        <v>Město Mariánské Lázně</v>
      </c>
      <c r="G2" s="125"/>
      <c r="H2" s="129" t="s">
        <v>221</v>
      </c>
      <c r="I2" s="133" t="s">
        <v>47</v>
      </c>
    </row>
    <row r="3" spans="1:9" ht="15" customHeight="1" x14ac:dyDescent="0.3">
      <c r="A3" s="126"/>
      <c r="B3" s="103"/>
      <c r="C3" s="132"/>
      <c r="D3" s="132"/>
      <c r="E3" s="103"/>
      <c r="F3" s="103"/>
      <c r="G3" s="103"/>
      <c r="H3" s="103"/>
      <c r="I3" s="134"/>
    </row>
    <row r="4" spans="1:9" ht="14.4" x14ac:dyDescent="0.3">
      <c r="A4" s="127" t="s">
        <v>6</v>
      </c>
      <c r="B4" s="103"/>
      <c r="C4" s="105" t="str">
        <f>'Stavební rozpočet'!C4</f>
        <v>Pilnice - odstranění stavby</v>
      </c>
      <c r="D4" s="103"/>
      <c r="E4" s="105" t="s">
        <v>9</v>
      </c>
      <c r="F4" s="105" t="str">
        <f>'Stavební rozpočet'!I4</f>
        <v>T-projekt, Mariánské Lázně</v>
      </c>
      <c r="G4" s="103"/>
      <c r="H4" s="105" t="s">
        <v>221</v>
      </c>
      <c r="I4" s="134" t="s">
        <v>47</v>
      </c>
    </row>
    <row r="5" spans="1:9" ht="15" customHeight="1" x14ac:dyDescent="0.3">
      <c r="A5" s="126"/>
      <c r="B5" s="103"/>
      <c r="C5" s="103"/>
      <c r="D5" s="103"/>
      <c r="E5" s="103"/>
      <c r="F5" s="103"/>
      <c r="G5" s="103"/>
      <c r="H5" s="103"/>
      <c r="I5" s="134"/>
    </row>
    <row r="6" spans="1:9" ht="14.4" x14ac:dyDescent="0.3">
      <c r="A6" s="127" t="s">
        <v>11</v>
      </c>
      <c r="B6" s="103"/>
      <c r="C6" s="105" t="str">
        <f>'Stavební rozpočet'!C6</f>
        <v>Mariánské Lázně, U Pily 205/3</v>
      </c>
      <c r="D6" s="103"/>
      <c r="E6" s="105" t="s">
        <v>14</v>
      </c>
      <c r="F6" s="105" t="str">
        <f>'Stavební rozpočet'!I6</f>
        <v> </v>
      </c>
      <c r="G6" s="103"/>
      <c r="H6" s="105" t="s">
        <v>221</v>
      </c>
      <c r="I6" s="134" t="s">
        <v>47</v>
      </c>
    </row>
    <row r="7" spans="1:9" ht="15" customHeight="1" x14ac:dyDescent="0.3">
      <c r="A7" s="126"/>
      <c r="B7" s="103"/>
      <c r="C7" s="103"/>
      <c r="D7" s="103"/>
      <c r="E7" s="103"/>
      <c r="F7" s="103"/>
      <c r="G7" s="103"/>
      <c r="H7" s="103"/>
      <c r="I7" s="134"/>
    </row>
    <row r="8" spans="1:9" ht="14.4" x14ac:dyDescent="0.3">
      <c r="A8" s="127" t="s">
        <v>8</v>
      </c>
      <c r="B8" s="103"/>
      <c r="C8" s="105">
        <f>'Stavební rozpočet'!G4</f>
        <v>0</v>
      </c>
      <c r="D8" s="103"/>
      <c r="E8" s="105" t="s">
        <v>13</v>
      </c>
      <c r="F8" s="105">
        <f>'Stavební rozpočet'!G6</f>
        <v>0</v>
      </c>
      <c r="G8" s="103"/>
      <c r="H8" s="103" t="s">
        <v>222</v>
      </c>
      <c r="I8" s="156">
        <v>45</v>
      </c>
    </row>
    <row r="9" spans="1:9" ht="14.4" x14ac:dyDescent="0.3">
      <c r="A9" s="126"/>
      <c r="B9" s="103"/>
      <c r="C9" s="103"/>
      <c r="D9" s="103"/>
      <c r="E9" s="103"/>
      <c r="F9" s="103"/>
      <c r="G9" s="103"/>
      <c r="H9" s="103"/>
      <c r="I9" s="134"/>
    </row>
    <row r="10" spans="1:9" ht="14.4" x14ac:dyDescent="0.3">
      <c r="A10" s="127" t="s">
        <v>16</v>
      </c>
      <c r="B10" s="103"/>
      <c r="C10" s="105" t="str">
        <f>'Stavební rozpočet'!C8</f>
        <v xml:space="preserve"> </v>
      </c>
      <c r="D10" s="103"/>
      <c r="E10" s="105" t="s">
        <v>19</v>
      </c>
      <c r="F10" s="105" t="str">
        <f>'Stavební rozpočet'!I8</f>
        <v> </v>
      </c>
      <c r="G10" s="103"/>
      <c r="H10" s="103" t="s">
        <v>223</v>
      </c>
      <c r="I10" s="158">
        <f>'Stavební rozpočet'!G8</f>
        <v>0</v>
      </c>
    </row>
    <row r="11" spans="1:9" ht="14.4" x14ac:dyDescent="0.3">
      <c r="A11" s="163"/>
      <c r="B11" s="157"/>
      <c r="C11" s="157"/>
      <c r="D11" s="157"/>
      <c r="E11" s="157"/>
      <c r="F11" s="157"/>
      <c r="G11" s="157"/>
      <c r="H11" s="157"/>
      <c r="I11" s="159"/>
    </row>
    <row r="12" spans="1:9" ht="22.8" x14ac:dyDescent="0.3">
      <c r="A12" s="160" t="s">
        <v>224</v>
      </c>
      <c r="B12" s="160"/>
      <c r="C12" s="160"/>
      <c r="D12" s="160"/>
      <c r="E12" s="160"/>
      <c r="F12" s="160"/>
      <c r="G12" s="160"/>
      <c r="H12" s="160"/>
      <c r="I12" s="160"/>
    </row>
    <row r="13" spans="1:9" ht="26.25" customHeight="1" x14ac:dyDescent="0.3">
      <c r="A13" s="34" t="s">
        <v>225</v>
      </c>
      <c r="B13" s="161" t="s">
        <v>226</v>
      </c>
      <c r="C13" s="162"/>
      <c r="D13" s="35" t="s">
        <v>227</v>
      </c>
      <c r="E13" s="161" t="s">
        <v>228</v>
      </c>
      <c r="F13" s="162"/>
      <c r="G13" s="35" t="s">
        <v>229</v>
      </c>
      <c r="H13" s="161" t="s">
        <v>230</v>
      </c>
      <c r="I13" s="162"/>
    </row>
    <row r="14" spans="1:9" ht="15.6" x14ac:dyDescent="0.3">
      <c r="A14" s="36" t="s">
        <v>231</v>
      </c>
      <c r="B14" s="37" t="s">
        <v>232</v>
      </c>
      <c r="C14" s="38">
        <f>SUM('Stavební rozpočet'!AB12:AB201)</f>
        <v>0</v>
      </c>
      <c r="D14" s="170" t="s">
        <v>233</v>
      </c>
      <c r="E14" s="171"/>
      <c r="F14" s="38">
        <f>VORN!I15</f>
        <v>0</v>
      </c>
      <c r="G14" s="170" t="s">
        <v>190</v>
      </c>
      <c r="H14" s="171"/>
      <c r="I14" s="38">
        <f>VORN!I21</f>
        <v>0</v>
      </c>
    </row>
    <row r="15" spans="1:9" ht="15.6" x14ac:dyDescent="0.3">
      <c r="A15" s="40" t="s">
        <v>47</v>
      </c>
      <c r="B15" s="37" t="s">
        <v>33</v>
      </c>
      <c r="C15" s="38">
        <f>SUM('Stavební rozpočet'!AC12:AC201)</f>
        <v>0</v>
      </c>
      <c r="D15" s="170" t="s">
        <v>234</v>
      </c>
      <c r="E15" s="171"/>
      <c r="F15" s="38">
        <f>VORN!I16</f>
        <v>0</v>
      </c>
      <c r="G15" s="170" t="s">
        <v>235</v>
      </c>
      <c r="H15" s="171"/>
      <c r="I15" s="39">
        <f>VORN!I22</f>
        <v>0</v>
      </c>
    </row>
    <row r="16" spans="1:9" ht="15.6" x14ac:dyDescent="0.3">
      <c r="A16" s="36" t="s">
        <v>236</v>
      </c>
      <c r="B16" s="37" t="s">
        <v>232</v>
      </c>
      <c r="C16" s="38">
        <f>SUM('Stavební rozpočet'!AD12:AD201)</f>
        <v>0</v>
      </c>
      <c r="D16" s="170" t="s">
        <v>237</v>
      </c>
      <c r="E16" s="171"/>
      <c r="F16" s="38">
        <f>VORN!I17</f>
        <v>0</v>
      </c>
      <c r="G16" s="170" t="s">
        <v>202</v>
      </c>
      <c r="H16" s="171"/>
      <c r="I16" s="39">
        <f>VORN!I23</f>
        <v>0</v>
      </c>
    </row>
    <row r="17" spans="1:9" ht="15.6" x14ac:dyDescent="0.3">
      <c r="A17" s="40" t="s">
        <v>47</v>
      </c>
      <c r="B17" s="37" t="s">
        <v>33</v>
      </c>
      <c r="C17" s="38">
        <f>SUM('Stavební rozpočet'!AE12:AE201)</f>
        <v>0</v>
      </c>
      <c r="D17" s="170" t="s">
        <v>47</v>
      </c>
      <c r="E17" s="171"/>
      <c r="F17" s="39" t="s">
        <v>47</v>
      </c>
      <c r="G17" s="170" t="s">
        <v>209</v>
      </c>
      <c r="H17" s="171"/>
      <c r="I17" s="39">
        <f>VORN!I24</f>
        <v>0</v>
      </c>
    </row>
    <row r="18" spans="1:9" ht="15.6" x14ac:dyDescent="0.3">
      <c r="A18" s="36" t="s">
        <v>238</v>
      </c>
      <c r="B18" s="37" t="s">
        <v>232</v>
      </c>
      <c r="C18" s="38">
        <f>SUM('Stavební rozpočet'!AF12:AF201)</f>
        <v>0</v>
      </c>
      <c r="D18" s="170" t="s">
        <v>47</v>
      </c>
      <c r="E18" s="171"/>
      <c r="F18" s="39" t="s">
        <v>47</v>
      </c>
      <c r="G18" s="170" t="s">
        <v>239</v>
      </c>
      <c r="H18" s="171"/>
      <c r="I18" s="39">
        <f>VORN!I25</f>
        <v>0</v>
      </c>
    </row>
    <row r="19" spans="1:9" ht="15.6" x14ac:dyDescent="0.3">
      <c r="A19" s="40" t="s">
        <v>47</v>
      </c>
      <c r="B19" s="37" t="s">
        <v>33</v>
      </c>
      <c r="C19" s="38">
        <f>SUM('Stavební rozpočet'!AG12:AG201)</f>
        <v>0</v>
      </c>
      <c r="D19" s="170" t="s">
        <v>47</v>
      </c>
      <c r="E19" s="171"/>
      <c r="F19" s="39" t="s">
        <v>47</v>
      </c>
      <c r="G19" s="170" t="s">
        <v>240</v>
      </c>
      <c r="H19" s="171"/>
      <c r="I19" s="39">
        <f>VORN!I26</f>
        <v>0</v>
      </c>
    </row>
    <row r="20" spans="1:9" ht="15.6" x14ac:dyDescent="0.3">
      <c r="A20" s="164" t="s">
        <v>241</v>
      </c>
      <c r="B20" s="165"/>
      <c r="C20" s="38">
        <f>SUM('Stavební rozpočet'!AH12:AH201)</f>
        <v>0</v>
      </c>
      <c r="D20" s="170" t="s">
        <v>47</v>
      </c>
      <c r="E20" s="171"/>
      <c r="F20" s="39" t="s">
        <v>47</v>
      </c>
      <c r="G20" s="170" t="s">
        <v>47</v>
      </c>
      <c r="H20" s="171"/>
      <c r="I20" s="39" t="s">
        <v>47</v>
      </c>
    </row>
    <row r="21" spans="1:9" ht="15.6" x14ac:dyDescent="0.3">
      <c r="A21" s="166" t="s">
        <v>242</v>
      </c>
      <c r="B21" s="167"/>
      <c r="C21" s="41">
        <f>SUM('Stavební rozpočet'!Z12:Z201)</f>
        <v>0</v>
      </c>
      <c r="D21" s="172" t="s">
        <v>47</v>
      </c>
      <c r="E21" s="173"/>
      <c r="F21" s="42" t="s">
        <v>47</v>
      </c>
      <c r="G21" s="172" t="s">
        <v>47</v>
      </c>
      <c r="H21" s="173"/>
      <c r="I21" s="42" t="s">
        <v>47</v>
      </c>
    </row>
    <row r="22" spans="1:9" ht="16.5" customHeight="1" x14ac:dyDescent="0.3">
      <c r="A22" s="168" t="s">
        <v>243</v>
      </c>
      <c r="B22" s="169"/>
      <c r="C22" s="43">
        <f>ROUND(SUM(C14:C21),2)</f>
        <v>0</v>
      </c>
      <c r="D22" s="174" t="s">
        <v>244</v>
      </c>
      <c r="E22" s="169"/>
      <c r="F22" s="43">
        <f>SUM(F14:F21)</f>
        <v>0</v>
      </c>
      <c r="G22" s="174" t="s">
        <v>245</v>
      </c>
      <c r="H22" s="169"/>
      <c r="I22" s="43">
        <f>SUM(I14:I21)</f>
        <v>0</v>
      </c>
    </row>
    <row r="23" spans="1:9" ht="15.6" x14ac:dyDescent="0.3">
      <c r="D23" s="164" t="s">
        <v>246</v>
      </c>
      <c r="E23" s="165"/>
      <c r="F23" s="44">
        <v>0</v>
      </c>
      <c r="G23" s="175" t="s">
        <v>247</v>
      </c>
      <c r="H23" s="165"/>
      <c r="I23" s="38">
        <v>0</v>
      </c>
    </row>
    <row r="24" spans="1:9" ht="15.6" x14ac:dyDescent="0.3">
      <c r="G24" s="164" t="s">
        <v>248</v>
      </c>
      <c r="H24" s="165"/>
      <c r="I24" s="41">
        <f>vorn_sum</f>
        <v>0</v>
      </c>
    </row>
    <row r="25" spans="1:9" ht="15.6" x14ac:dyDescent="0.3">
      <c r="G25" s="164" t="s">
        <v>249</v>
      </c>
      <c r="H25" s="165"/>
      <c r="I25" s="43">
        <v>0</v>
      </c>
    </row>
    <row r="27" spans="1:9" ht="15.6" x14ac:dyDescent="0.3">
      <c r="A27" s="176" t="s">
        <v>250</v>
      </c>
      <c r="B27" s="177"/>
      <c r="C27" s="45">
        <f>ROUND(SUM('Stavební rozpočet'!AJ12:AJ201),2)</f>
        <v>0</v>
      </c>
    </row>
    <row r="28" spans="1:9" ht="15.6" x14ac:dyDescent="0.3">
      <c r="A28" s="178" t="s">
        <v>251</v>
      </c>
      <c r="B28" s="179"/>
      <c r="C28" s="46">
        <f>ROUND(SUM('Stavební rozpočet'!AK12:AK201),2)</f>
        <v>0</v>
      </c>
      <c r="D28" s="180" t="s">
        <v>252</v>
      </c>
      <c r="E28" s="177"/>
      <c r="F28" s="45">
        <f>ROUND(C28*(12/100),2)</f>
        <v>0</v>
      </c>
      <c r="G28" s="180" t="s">
        <v>253</v>
      </c>
      <c r="H28" s="177"/>
      <c r="I28" s="45">
        <f>ROUND(SUM(C27:C29),2)</f>
        <v>0</v>
      </c>
    </row>
    <row r="29" spans="1:9" ht="15.6" x14ac:dyDescent="0.3">
      <c r="A29" s="178" t="s">
        <v>254</v>
      </c>
      <c r="B29" s="179"/>
      <c r="C29" s="46">
        <f>ROUND(SUM('Stavební rozpočet'!AL12:AL201),2)</f>
        <v>0</v>
      </c>
      <c r="D29" s="181" t="s">
        <v>255</v>
      </c>
      <c r="E29" s="179"/>
      <c r="F29" s="46">
        <f>ROUND(C29*(21/100),2)</f>
        <v>0</v>
      </c>
      <c r="G29" s="181" t="s">
        <v>256</v>
      </c>
      <c r="H29" s="179"/>
      <c r="I29" s="46">
        <f>ROUND(SUM(F28:F29)+I28,2)</f>
        <v>0</v>
      </c>
    </row>
    <row r="31" spans="1:9" x14ac:dyDescent="0.3">
      <c r="A31" s="191" t="s">
        <v>257</v>
      </c>
      <c r="B31" s="183"/>
      <c r="C31" s="184"/>
      <c r="D31" s="182" t="s">
        <v>258</v>
      </c>
      <c r="E31" s="183"/>
      <c r="F31" s="184"/>
      <c r="G31" s="182" t="s">
        <v>259</v>
      </c>
      <c r="H31" s="183"/>
      <c r="I31" s="184"/>
    </row>
    <row r="32" spans="1:9" x14ac:dyDescent="0.3">
      <c r="A32" s="192" t="s">
        <v>47</v>
      </c>
      <c r="B32" s="186"/>
      <c r="C32" s="187"/>
      <c r="D32" s="185" t="s">
        <v>47</v>
      </c>
      <c r="E32" s="186"/>
      <c r="F32" s="187"/>
      <c r="G32" s="185" t="s">
        <v>47</v>
      </c>
      <c r="H32" s="186"/>
      <c r="I32" s="187"/>
    </row>
    <row r="33" spans="1:9" x14ac:dyDescent="0.3">
      <c r="A33" s="192" t="s">
        <v>47</v>
      </c>
      <c r="B33" s="186"/>
      <c r="C33" s="187"/>
      <c r="D33" s="185" t="s">
        <v>47</v>
      </c>
      <c r="E33" s="186"/>
      <c r="F33" s="187"/>
      <c r="G33" s="185" t="s">
        <v>47</v>
      </c>
      <c r="H33" s="186"/>
      <c r="I33" s="187"/>
    </row>
    <row r="34" spans="1:9" x14ac:dyDescent="0.3">
      <c r="A34" s="192" t="s">
        <v>47</v>
      </c>
      <c r="B34" s="186"/>
      <c r="C34" s="187"/>
      <c r="D34" s="185" t="s">
        <v>47</v>
      </c>
      <c r="E34" s="186"/>
      <c r="F34" s="187"/>
      <c r="G34" s="185" t="s">
        <v>47</v>
      </c>
      <c r="H34" s="186"/>
      <c r="I34" s="187"/>
    </row>
    <row r="35" spans="1:9" x14ac:dyDescent="0.3">
      <c r="A35" s="193" t="s">
        <v>260</v>
      </c>
      <c r="B35" s="189"/>
      <c r="C35" s="190"/>
      <c r="D35" s="188" t="s">
        <v>260</v>
      </c>
      <c r="E35" s="189"/>
      <c r="F35" s="190"/>
      <c r="G35" s="188" t="s">
        <v>260</v>
      </c>
      <c r="H35" s="189"/>
      <c r="I35" s="190"/>
    </row>
    <row r="36" spans="1:9" ht="14.4" x14ac:dyDescent="0.3">
      <c r="A36" s="47" t="s">
        <v>219</v>
      </c>
    </row>
    <row r="37" spans="1:9" ht="12.75" customHeight="1" x14ac:dyDescent="0.3">
      <c r="A37" s="105" t="s">
        <v>47</v>
      </c>
      <c r="B37" s="103"/>
      <c r="C37" s="103"/>
      <c r="D37" s="103"/>
      <c r="E37" s="103"/>
      <c r="F37" s="103"/>
      <c r="G37" s="103"/>
      <c r="H37" s="103"/>
      <c r="I37" s="103"/>
    </row>
  </sheetData>
  <mergeCells count="83">
    <mergeCell ref="A37:I37"/>
    <mergeCell ref="G31:I31"/>
    <mergeCell ref="G32:I32"/>
    <mergeCell ref="G33:I33"/>
    <mergeCell ref="G34:I34"/>
    <mergeCell ref="G35:I35"/>
    <mergeCell ref="D31:F31"/>
    <mergeCell ref="D32:F32"/>
    <mergeCell ref="D33:F33"/>
    <mergeCell ref="D34:F34"/>
    <mergeCell ref="D35:F35"/>
    <mergeCell ref="A31:C31"/>
    <mergeCell ref="A32:C32"/>
    <mergeCell ref="A33:C33"/>
    <mergeCell ref="A34:C34"/>
    <mergeCell ref="A35:C35"/>
    <mergeCell ref="G24:H24"/>
    <mergeCell ref="G25:H25"/>
    <mergeCell ref="A27:B27"/>
    <mergeCell ref="A28:B28"/>
    <mergeCell ref="A29:B29"/>
    <mergeCell ref="D28:E28"/>
    <mergeCell ref="D29:E29"/>
    <mergeCell ref="G28:H28"/>
    <mergeCell ref="G29:H29"/>
    <mergeCell ref="D23:E2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A20:B20"/>
    <mergeCell ref="A21:B21"/>
    <mergeCell ref="A22:B22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I10:I11"/>
    <mergeCell ref="A12:I12"/>
    <mergeCell ref="B13:C13"/>
    <mergeCell ref="E13:F13"/>
    <mergeCell ref="H13:I13"/>
    <mergeCell ref="F10:G11"/>
    <mergeCell ref="A10:B11"/>
    <mergeCell ref="H2:H3"/>
    <mergeCell ref="H4:H5"/>
    <mergeCell ref="H6:H7"/>
    <mergeCell ref="H8:H9"/>
    <mergeCell ref="H10:H11"/>
    <mergeCell ref="C8:D9"/>
    <mergeCell ref="C10:D11"/>
    <mergeCell ref="E2:E3"/>
    <mergeCell ref="E4:E5"/>
    <mergeCell ref="E6:E7"/>
    <mergeCell ref="E8:E9"/>
    <mergeCell ref="E10:E11"/>
    <mergeCell ref="A1:I1"/>
    <mergeCell ref="A2:B3"/>
    <mergeCell ref="A4:B5"/>
    <mergeCell ref="A6:B7"/>
    <mergeCell ref="A8:B9"/>
    <mergeCell ref="F2:G3"/>
    <mergeCell ref="F4:G5"/>
    <mergeCell ref="F6:G7"/>
    <mergeCell ref="F8:G9"/>
    <mergeCell ref="I2:I3"/>
    <mergeCell ref="I4:I5"/>
    <mergeCell ref="I6:I7"/>
    <mergeCell ref="I8:I9"/>
    <mergeCell ref="C2:D3"/>
    <mergeCell ref="C4:D5"/>
    <mergeCell ref="C6:D7"/>
  </mergeCells>
  <pageMargins left="0.393999993801117" right="0.393999993801117" top="0.59100002050399802" bottom="0.59100002050399802" header="0" footer="0"/>
  <pageSetup scale="8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45"/>
  <sheetViews>
    <sheetView workbookViewId="0">
      <selection activeCell="A45" sqref="A45:E45"/>
    </sheetView>
  </sheetViews>
  <sheetFormatPr defaultColWidth="12.109375" defaultRowHeight="15" customHeight="1" x14ac:dyDescent="0.3"/>
  <cols>
    <col min="1" max="1" width="9.109375" customWidth="1"/>
    <col min="2" max="2" width="12.88671875" customWidth="1"/>
    <col min="3" max="3" width="22.88671875" customWidth="1"/>
    <col min="4" max="4" width="10" customWidth="1"/>
    <col min="5" max="5" width="14" customWidth="1"/>
    <col min="6" max="6" width="22.88671875" customWidth="1"/>
    <col min="7" max="7" width="9.109375" customWidth="1"/>
    <col min="8" max="8" width="17.109375" customWidth="1"/>
    <col min="9" max="9" width="22.88671875" customWidth="1"/>
  </cols>
  <sheetData>
    <row r="1" spans="1:9" ht="54.75" customHeight="1" x14ac:dyDescent="0.3">
      <c r="A1" s="155" t="s">
        <v>178</v>
      </c>
      <c r="B1" s="123"/>
      <c r="C1" s="123"/>
      <c r="D1" s="123"/>
      <c r="E1" s="123"/>
      <c r="F1" s="123"/>
      <c r="G1" s="123"/>
      <c r="H1" s="123"/>
      <c r="I1" s="123"/>
    </row>
    <row r="2" spans="1:9" ht="14.4" x14ac:dyDescent="0.3">
      <c r="A2" s="124" t="s">
        <v>1</v>
      </c>
      <c r="B2" s="125"/>
      <c r="C2" s="130" t="str">
        <f>'Stavební rozpočet'!C2</f>
        <v>Odstranění objektu Pilnice - Mariánské Lázně č. p. 205/3</v>
      </c>
      <c r="D2" s="131"/>
      <c r="E2" s="129" t="s">
        <v>4</v>
      </c>
      <c r="F2" s="129" t="str">
        <f>'Stavební rozpočet'!I2</f>
        <v>Město Mariánské Lázně</v>
      </c>
      <c r="G2" s="125"/>
      <c r="H2" s="129" t="s">
        <v>221</v>
      </c>
      <c r="I2" s="133" t="s">
        <v>47</v>
      </c>
    </row>
    <row r="3" spans="1:9" ht="15" customHeight="1" x14ac:dyDescent="0.3">
      <c r="A3" s="126"/>
      <c r="B3" s="103"/>
      <c r="C3" s="132"/>
      <c r="D3" s="132"/>
      <c r="E3" s="103"/>
      <c r="F3" s="103"/>
      <c r="G3" s="103"/>
      <c r="H3" s="103"/>
      <c r="I3" s="134"/>
    </row>
    <row r="4" spans="1:9" ht="14.4" x14ac:dyDescent="0.3">
      <c r="A4" s="127" t="s">
        <v>6</v>
      </c>
      <c r="B4" s="103"/>
      <c r="C4" s="105" t="str">
        <f>'Stavební rozpočet'!C4</f>
        <v>Pilnice - odstranění stavby</v>
      </c>
      <c r="D4" s="103"/>
      <c r="E4" s="105" t="s">
        <v>9</v>
      </c>
      <c r="F4" s="105" t="str">
        <f>'Stavební rozpočet'!I4</f>
        <v>T-projekt, Mariánské Lázně</v>
      </c>
      <c r="G4" s="103"/>
      <c r="H4" s="105" t="s">
        <v>221</v>
      </c>
      <c r="I4" s="134" t="s">
        <v>47</v>
      </c>
    </row>
    <row r="5" spans="1:9" ht="15" customHeight="1" x14ac:dyDescent="0.3">
      <c r="A5" s="126"/>
      <c r="B5" s="103"/>
      <c r="C5" s="103"/>
      <c r="D5" s="103"/>
      <c r="E5" s="103"/>
      <c r="F5" s="103"/>
      <c r="G5" s="103"/>
      <c r="H5" s="103"/>
      <c r="I5" s="134"/>
    </row>
    <row r="6" spans="1:9" ht="14.4" x14ac:dyDescent="0.3">
      <c r="A6" s="127" t="s">
        <v>11</v>
      </c>
      <c r="B6" s="103"/>
      <c r="C6" s="105" t="str">
        <f>'Stavební rozpočet'!C6</f>
        <v>Mariánské Lázně, U Pily 205/3</v>
      </c>
      <c r="D6" s="103"/>
      <c r="E6" s="105" t="s">
        <v>14</v>
      </c>
      <c r="F6" s="105" t="str">
        <f>'Stavební rozpočet'!I6</f>
        <v> </v>
      </c>
      <c r="G6" s="103"/>
      <c r="H6" s="105" t="s">
        <v>221</v>
      </c>
      <c r="I6" s="134" t="s">
        <v>47</v>
      </c>
    </row>
    <row r="7" spans="1:9" ht="15" customHeight="1" x14ac:dyDescent="0.3">
      <c r="A7" s="126"/>
      <c r="B7" s="103"/>
      <c r="C7" s="103"/>
      <c r="D7" s="103"/>
      <c r="E7" s="103"/>
      <c r="F7" s="103"/>
      <c r="G7" s="103"/>
      <c r="H7" s="103"/>
      <c r="I7" s="134"/>
    </row>
    <row r="8" spans="1:9" ht="14.4" x14ac:dyDescent="0.3">
      <c r="A8" s="127" t="s">
        <v>8</v>
      </c>
      <c r="B8" s="103"/>
      <c r="C8" s="105">
        <f>'Stavební rozpočet'!G4</f>
        <v>0</v>
      </c>
      <c r="D8" s="103"/>
      <c r="E8" s="105" t="s">
        <v>13</v>
      </c>
      <c r="F8" s="105">
        <f>'Stavební rozpočet'!G6</f>
        <v>0</v>
      </c>
      <c r="G8" s="103"/>
      <c r="H8" s="103" t="s">
        <v>222</v>
      </c>
      <c r="I8" s="156">
        <v>45</v>
      </c>
    </row>
    <row r="9" spans="1:9" ht="14.4" x14ac:dyDescent="0.3">
      <c r="A9" s="126"/>
      <c r="B9" s="103"/>
      <c r="C9" s="103"/>
      <c r="D9" s="103"/>
      <c r="E9" s="103"/>
      <c r="F9" s="103"/>
      <c r="G9" s="103"/>
      <c r="H9" s="103"/>
      <c r="I9" s="134"/>
    </row>
    <row r="10" spans="1:9" ht="14.4" x14ac:dyDescent="0.3">
      <c r="A10" s="127" t="s">
        <v>16</v>
      </c>
      <c r="B10" s="103"/>
      <c r="C10" s="105" t="str">
        <f>'Stavební rozpočet'!C8</f>
        <v xml:space="preserve"> </v>
      </c>
      <c r="D10" s="103"/>
      <c r="E10" s="105" t="s">
        <v>19</v>
      </c>
      <c r="F10" s="105" t="str">
        <f>'Stavební rozpočet'!I8</f>
        <v> </v>
      </c>
      <c r="G10" s="103"/>
      <c r="H10" s="103" t="s">
        <v>223</v>
      </c>
      <c r="I10" s="158">
        <f>'Stavební rozpočet'!G8</f>
        <v>0</v>
      </c>
    </row>
    <row r="11" spans="1:9" ht="14.4" x14ac:dyDescent="0.3">
      <c r="A11" s="163"/>
      <c r="B11" s="157"/>
      <c r="C11" s="157"/>
      <c r="D11" s="157"/>
      <c r="E11" s="157"/>
      <c r="F11" s="157"/>
      <c r="G11" s="157"/>
      <c r="H11" s="157"/>
      <c r="I11" s="159"/>
    </row>
    <row r="13" spans="1:9" ht="15.6" x14ac:dyDescent="0.3">
      <c r="A13" s="194" t="s">
        <v>261</v>
      </c>
      <c r="B13" s="194"/>
      <c r="C13" s="194"/>
      <c r="D13" s="194"/>
      <c r="E13" s="194"/>
    </row>
    <row r="14" spans="1:9" ht="14.4" x14ac:dyDescent="0.3">
      <c r="A14" s="195" t="s">
        <v>262</v>
      </c>
      <c r="B14" s="196"/>
      <c r="C14" s="196"/>
      <c r="D14" s="196"/>
      <c r="E14" s="197"/>
      <c r="F14" s="48" t="s">
        <v>263</v>
      </c>
      <c r="G14" s="48" t="s">
        <v>264</v>
      </c>
      <c r="H14" s="48" t="s">
        <v>265</v>
      </c>
      <c r="I14" s="48" t="s">
        <v>263</v>
      </c>
    </row>
    <row r="15" spans="1:9" ht="14.4" x14ac:dyDescent="0.3">
      <c r="A15" s="198" t="s">
        <v>233</v>
      </c>
      <c r="B15" s="199"/>
      <c r="C15" s="199"/>
      <c r="D15" s="199"/>
      <c r="E15" s="200"/>
      <c r="F15" s="49">
        <v>0</v>
      </c>
      <c r="G15" s="50" t="s">
        <v>47</v>
      </c>
      <c r="H15" s="50" t="s">
        <v>47</v>
      </c>
      <c r="I15" s="49">
        <f>F15</f>
        <v>0</v>
      </c>
    </row>
    <row r="16" spans="1:9" ht="14.4" x14ac:dyDescent="0.3">
      <c r="A16" s="198" t="s">
        <v>234</v>
      </c>
      <c r="B16" s="199"/>
      <c r="C16" s="199"/>
      <c r="D16" s="199"/>
      <c r="E16" s="200"/>
      <c r="F16" s="49">
        <v>0</v>
      </c>
      <c r="G16" s="50" t="s">
        <v>47</v>
      </c>
      <c r="H16" s="50" t="s">
        <v>47</v>
      </c>
      <c r="I16" s="49">
        <f>F16</f>
        <v>0</v>
      </c>
    </row>
    <row r="17" spans="1:9" ht="14.4" x14ac:dyDescent="0.3">
      <c r="A17" s="201" t="s">
        <v>237</v>
      </c>
      <c r="B17" s="202"/>
      <c r="C17" s="202"/>
      <c r="D17" s="202"/>
      <c r="E17" s="203"/>
      <c r="F17" s="51">
        <v>0</v>
      </c>
      <c r="G17" s="52" t="s">
        <v>47</v>
      </c>
      <c r="H17" s="52" t="s">
        <v>47</v>
      </c>
      <c r="I17" s="51">
        <f>F17</f>
        <v>0</v>
      </c>
    </row>
    <row r="18" spans="1:9" ht="14.4" x14ac:dyDescent="0.3">
      <c r="A18" s="204" t="s">
        <v>266</v>
      </c>
      <c r="B18" s="205"/>
      <c r="C18" s="205"/>
      <c r="D18" s="205"/>
      <c r="E18" s="206"/>
      <c r="F18" s="53" t="s">
        <v>47</v>
      </c>
      <c r="G18" s="54" t="s">
        <v>47</v>
      </c>
      <c r="H18" s="54" t="s">
        <v>47</v>
      </c>
      <c r="I18" s="55">
        <f>SUM(I15:I17)</f>
        <v>0</v>
      </c>
    </row>
    <row r="20" spans="1:9" ht="14.4" x14ac:dyDescent="0.3">
      <c r="A20" s="195" t="s">
        <v>230</v>
      </c>
      <c r="B20" s="196"/>
      <c r="C20" s="196"/>
      <c r="D20" s="196"/>
      <c r="E20" s="197"/>
      <c r="F20" s="48" t="s">
        <v>263</v>
      </c>
      <c r="G20" s="48" t="s">
        <v>264</v>
      </c>
      <c r="H20" s="48" t="s">
        <v>265</v>
      </c>
      <c r="I20" s="48" t="s">
        <v>263</v>
      </c>
    </row>
    <row r="21" spans="1:9" ht="14.4" x14ac:dyDescent="0.3">
      <c r="A21" s="198" t="s">
        <v>190</v>
      </c>
      <c r="B21" s="199"/>
      <c r="C21" s="199"/>
      <c r="D21" s="199"/>
      <c r="E21" s="200"/>
      <c r="F21" s="49">
        <v>0</v>
      </c>
      <c r="G21" s="50" t="s">
        <v>47</v>
      </c>
      <c r="H21" s="50" t="s">
        <v>47</v>
      </c>
      <c r="I21" s="49">
        <f t="shared" ref="I21:I26" si="0">F21</f>
        <v>0</v>
      </c>
    </row>
    <row r="22" spans="1:9" ht="14.4" x14ac:dyDescent="0.3">
      <c r="A22" s="198" t="s">
        <v>235</v>
      </c>
      <c r="B22" s="199"/>
      <c r="C22" s="199"/>
      <c r="D22" s="199"/>
      <c r="E22" s="200"/>
      <c r="F22" s="49">
        <v>0</v>
      </c>
      <c r="G22" s="50" t="s">
        <v>47</v>
      </c>
      <c r="H22" s="50" t="s">
        <v>47</v>
      </c>
      <c r="I22" s="49">
        <f t="shared" si="0"/>
        <v>0</v>
      </c>
    </row>
    <row r="23" spans="1:9" ht="14.4" x14ac:dyDescent="0.3">
      <c r="A23" s="198" t="s">
        <v>202</v>
      </c>
      <c r="B23" s="199"/>
      <c r="C23" s="199"/>
      <c r="D23" s="199"/>
      <c r="E23" s="200"/>
      <c r="F23" s="49">
        <v>0</v>
      </c>
      <c r="G23" s="50" t="s">
        <v>47</v>
      </c>
      <c r="H23" s="50" t="s">
        <v>47</v>
      </c>
      <c r="I23" s="49">
        <f t="shared" si="0"/>
        <v>0</v>
      </c>
    </row>
    <row r="24" spans="1:9" ht="14.4" x14ac:dyDescent="0.3">
      <c r="A24" s="198" t="s">
        <v>209</v>
      </c>
      <c r="B24" s="199"/>
      <c r="C24" s="199"/>
      <c r="D24" s="199"/>
      <c r="E24" s="200"/>
      <c r="F24" s="49">
        <v>0</v>
      </c>
      <c r="G24" s="50" t="s">
        <v>47</v>
      </c>
      <c r="H24" s="50" t="s">
        <v>47</v>
      </c>
      <c r="I24" s="49">
        <f t="shared" si="0"/>
        <v>0</v>
      </c>
    </row>
    <row r="25" spans="1:9" ht="14.4" x14ac:dyDescent="0.3">
      <c r="A25" s="198" t="s">
        <v>239</v>
      </c>
      <c r="B25" s="199"/>
      <c r="C25" s="199"/>
      <c r="D25" s="199"/>
      <c r="E25" s="200"/>
      <c r="F25" s="49">
        <v>0</v>
      </c>
      <c r="G25" s="50" t="s">
        <v>47</v>
      </c>
      <c r="H25" s="50" t="s">
        <v>47</v>
      </c>
      <c r="I25" s="49">
        <f t="shared" si="0"/>
        <v>0</v>
      </c>
    </row>
    <row r="26" spans="1:9" ht="14.4" x14ac:dyDescent="0.3">
      <c r="A26" s="201" t="s">
        <v>240</v>
      </c>
      <c r="B26" s="202"/>
      <c r="C26" s="202"/>
      <c r="D26" s="202"/>
      <c r="E26" s="203"/>
      <c r="F26" s="51">
        <v>0</v>
      </c>
      <c r="G26" s="52" t="s">
        <v>47</v>
      </c>
      <c r="H26" s="52" t="s">
        <v>47</v>
      </c>
      <c r="I26" s="51">
        <f t="shared" si="0"/>
        <v>0</v>
      </c>
    </row>
    <row r="27" spans="1:9" ht="14.4" x14ac:dyDescent="0.3">
      <c r="A27" s="204" t="s">
        <v>267</v>
      </c>
      <c r="B27" s="205"/>
      <c r="C27" s="205"/>
      <c r="D27" s="205"/>
      <c r="E27" s="206"/>
      <c r="F27" s="53" t="s">
        <v>47</v>
      </c>
      <c r="G27" s="54" t="s">
        <v>47</v>
      </c>
      <c r="H27" s="54" t="s">
        <v>47</v>
      </c>
      <c r="I27" s="55">
        <f>SUM(I21:I26)</f>
        <v>0</v>
      </c>
    </row>
    <row r="29" spans="1:9" ht="15.6" x14ac:dyDescent="0.3">
      <c r="A29" s="207" t="s">
        <v>268</v>
      </c>
      <c r="B29" s="208"/>
      <c r="C29" s="208"/>
      <c r="D29" s="208"/>
      <c r="E29" s="209"/>
      <c r="F29" s="210">
        <f>I18+I27</f>
        <v>0</v>
      </c>
      <c r="G29" s="211"/>
      <c r="H29" s="211"/>
      <c r="I29" s="212"/>
    </row>
    <row r="33" spans="1:9" ht="15.6" x14ac:dyDescent="0.3">
      <c r="A33" s="194" t="s">
        <v>269</v>
      </c>
      <c r="B33" s="194"/>
      <c r="C33" s="194"/>
      <c r="D33" s="194"/>
      <c r="E33" s="194"/>
    </row>
    <row r="34" spans="1:9" ht="14.4" x14ac:dyDescent="0.3">
      <c r="A34" s="195" t="s">
        <v>270</v>
      </c>
      <c r="B34" s="196"/>
      <c r="C34" s="196"/>
      <c r="D34" s="196"/>
      <c r="E34" s="197"/>
      <c r="F34" s="48" t="s">
        <v>263</v>
      </c>
      <c r="G34" s="48" t="s">
        <v>264</v>
      </c>
      <c r="H34" s="48" t="s">
        <v>265</v>
      </c>
      <c r="I34" s="48" t="s">
        <v>263</v>
      </c>
    </row>
    <row r="35" spans="1:9" ht="14.4" x14ac:dyDescent="0.3">
      <c r="A35" s="198" t="s">
        <v>271</v>
      </c>
      <c r="B35" s="199"/>
      <c r="C35" s="199"/>
      <c r="D35" s="199"/>
      <c r="E35" s="200"/>
      <c r="F35" s="49">
        <f>SUM('Stavební rozpočet'!BM12:BM201)</f>
        <v>0</v>
      </c>
      <c r="G35" s="50" t="s">
        <v>47</v>
      </c>
      <c r="H35" s="50" t="s">
        <v>47</v>
      </c>
      <c r="I35" s="49">
        <f t="shared" ref="I35:I44" si="1">F35</f>
        <v>0</v>
      </c>
    </row>
    <row r="36" spans="1:9" ht="14.4" x14ac:dyDescent="0.3">
      <c r="A36" s="198" t="s">
        <v>180</v>
      </c>
      <c r="B36" s="199"/>
      <c r="C36" s="199"/>
      <c r="D36" s="199"/>
      <c r="E36" s="200"/>
      <c r="F36" s="49">
        <f>SUM('Stavební rozpočet'!BN12:BN201)</f>
        <v>0</v>
      </c>
      <c r="G36" s="50" t="s">
        <v>47</v>
      </c>
      <c r="H36" s="50" t="s">
        <v>47</v>
      </c>
      <c r="I36" s="49">
        <f t="shared" si="1"/>
        <v>0</v>
      </c>
    </row>
    <row r="37" spans="1:9" ht="14.4" x14ac:dyDescent="0.3">
      <c r="A37" s="198" t="s">
        <v>190</v>
      </c>
      <c r="B37" s="199"/>
      <c r="C37" s="199"/>
      <c r="D37" s="199"/>
      <c r="E37" s="200"/>
      <c r="F37" s="49">
        <f>SUM('Stavební rozpočet'!BO12:BO201)</f>
        <v>0</v>
      </c>
      <c r="G37" s="50" t="s">
        <v>47</v>
      </c>
      <c r="H37" s="50" t="s">
        <v>47</v>
      </c>
      <c r="I37" s="49">
        <f t="shared" si="1"/>
        <v>0</v>
      </c>
    </row>
    <row r="38" spans="1:9" ht="14.4" x14ac:dyDescent="0.3">
      <c r="A38" s="198" t="s">
        <v>272</v>
      </c>
      <c r="B38" s="199"/>
      <c r="C38" s="199"/>
      <c r="D38" s="199"/>
      <c r="E38" s="200"/>
      <c r="F38" s="49">
        <f>SUM('Stavební rozpočet'!BP12:BP201)</f>
        <v>0</v>
      </c>
      <c r="G38" s="50" t="s">
        <v>47</v>
      </c>
      <c r="H38" s="50" t="s">
        <v>47</v>
      </c>
      <c r="I38" s="49">
        <f t="shared" si="1"/>
        <v>0</v>
      </c>
    </row>
    <row r="39" spans="1:9" ht="14.4" x14ac:dyDescent="0.3">
      <c r="A39" s="198" t="s">
        <v>273</v>
      </c>
      <c r="B39" s="199"/>
      <c r="C39" s="199"/>
      <c r="D39" s="199"/>
      <c r="E39" s="200"/>
      <c r="F39" s="49">
        <f>SUM('Stavební rozpočet'!BQ12:BQ201)</f>
        <v>0</v>
      </c>
      <c r="G39" s="50" t="s">
        <v>47</v>
      </c>
      <c r="H39" s="50" t="s">
        <v>47</v>
      </c>
      <c r="I39" s="49">
        <f t="shared" si="1"/>
        <v>0</v>
      </c>
    </row>
    <row r="40" spans="1:9" ht="14.4" x14ac:dyDescent="0.3">
      <c r="A40" s="198" t="s">
        <v>202</v>
      </c>
      <c r="B40" s="199"/>
      <c r="C40" s="199"/>
      <c r="D40" s="199"/>
      <c r="E40" s="200"/>
      <c r="F40" s="49">
        <f>SUM('Stavební rozpočet'!BR12:BR201)</f>
        <v>0</v>
      </c>
      <c r="G40" s="50" t="s">
        <v>47</v>
      </c>
      <c r="H40" s="50" t="s">
        <v>47</v>
      </c>
      <c r="I40" s="49">
        <f t="shared" si="1"/>
        <v>0</v>
      </c>
    </row>
    <row r="41" spans="1:9" ht="14.4" x14ac:dyDescent="0.3">
      <c r="A41" s="198" t="s">
        <v>209</v>
      </c>
      <c r="B41" s="199"/>
      <c r="C41" s="199"/>
      <c r="D41" s="199"/>
      <c r="E41" s="200"/>
      <c r="F41" s="49">
        <f>SUM('Stavební rozpočet'!BS12:BS201)</f>
        <v>0</v>
      </c>
      <c r="G41" s="50" t="s">
        <v>47</v>
      </c>
      <c r="H41" s="50" t="s">
        <v>47</v>
      </c>
      <c r="I41" s="49">
        <f t="shared" si="1"/>
        <v>0</v>
      </c>
    </row>
    <row r="42" spans="1:9" ht="14.4" x14ac:dyDescent="0.3">
      <c r="A42" s="198" t="s">
        <v>274</v>
      </c>
      <c r="B42" s="199"/>
      <c r="C42" s="199"/>
      <c r="D42" s="199"/>
      <c r="E42" s="200"/>
      <c r="F42" s="49">
        <f>SUM('Stavební rozpočet'!BT12:BT201)</f>
        <v>0</v>
      </c>
      <c r="G42" s="50" t="s">
        <v>47</v>
      </c>
      <c r="H42" s="50" t="s">
        <v>47</v>
      </c>
      <c r="I42" s="49">
        <f t="shared" si="1"/>
        <v>0</v>
      </c>
    </row>
    <row r="43" spans="1:9" ht="14.4" x14ac:dyDescent="0.3">
      <c r="A43" s="198" t="s">
        <v>214</v>
      </c>
      <c r="B43" s="199"/>
      <c r="C43" s="199"/>
      <c r="D43" s="199"/>
      <c r="E43" s="200"/>
      <c r="F43" s="49">
        <f>SUM('Stavební rozpočet'!BU12:BU201)</f>
        <v>0</v>
      </c>
      <c r="G43" s="50" t="s">
        <v>47</v>
      </c>
      <c r="H43" s="50" t="s">
        <v>47</v>
      </c>
      <c r="I43" s="49">
        <f t="shared" si="1"/>
        <v>0</v>
      </c>
    </row>
    <row r="44" spans="1:9" ht="14.4" x14ac:dyDescent="0.3">
      <c r="A44" s="201" t="s">
        <v>275</v>
      </c>
      <c r="B44" s="202"/>
      <c r="C44" s="202"/>
      <c r="D44" s="202"/>
      <c r="E44" s="203"/>
      <c r="F44" s="51">
        <f>SUM('Stavební rozpočet'!BV12:BV201)</f>
        <v>0</v>
      </c>
      <c r="G44" s="52" t="s">
        <v>47</v>
      </c>
      <c r="H44" s="52" t="s">
        <v>47</v>
      </c>
      <c r="I44" s="51">
        <f t="shared" si="1"/>
        <v>0</v>
      </c>
    </row>
    <row r="45" spans="1:9" ht="14.4" x14ac:dyDescent="0.3">
      <c r="A45" s="204" t="s">
        <v>276</v>
      </c>
      <c r="B45" s="205"/>
      <c r="C45" s="205"/>
      <c r="D45" s="205"/>
      <c r="E45" s="206"/>
      <c r="F45" s="53" t="s">
        <v>47</v>
      </c>
      <c r="G45" s="54" t="s">
        <v>47</v>
      </c>
      <c r="H45" s="54" t="s">
        <v>47</v>
      </c>
      <c r="I45" s="55">
        <f>SUM(I35:I44)</f>
        <v>0</v>
      </c>
    </row>
  </sheetData>
  <mergeCells count="60">
    <mergeCell ref="A41:E41"/>
    <mergeCell ref="A42:E42"/>
    <mergeCell ref="A43:E43"/>
    <mergeCell ref="A44:E44"/>
    <mergeCell ref="A45:E45"/>
    <mergeCell ref="A36:E36"/>
    <mergeCell ref="A37:E37"/>
    <mergeCell ref="A38:E38"/>
    <mergeCell ref="A39:E39"/>
    <mergeCell ref="A40:E40"/>
    <mergeCell ref="A29:E29"/>
    <mergeCell ref="F29:I29"/>
    <mergeCell ref="A33:E33"/>
    <mergeCell ref="A34:E34"/>
    <mergeCell ref="A35:E35"/>
    <mergeCell ref="A23:E23"/>
    <mergeCell ref="A24:E24"/>
    <mergeCell ref="A25:E25"/>
    <mergeCell ref="A26:E26"/>
    <mergeCell ref="A27:E27"/>
    <mergeCell ref="A17:E17"/>
    <mergeCell ref="A18:E18"/>
    <mergeCell ref="A20:E20"/>
    <mergeCell ref="A21:E21"/>
    <mergeCell ref="A22:E22"/>
    <mergeCell ref="I10:I11"/>
    <mergeCell ref="A13:E13"/>
    <mergeCell ref="A14:E14"/>
    <mergeCell ref="A15:E15"/>
    <mergeCell ref="A16:E16"/>
    <mergeCell ref="H10:H11"/>
    <mergeCell ref="A10:B11"/>
    <mergeCell ref="C2:D3"/>
    <mergeCell ref="C4:D5"/>
    <mergeCell ref="C6:D7"/>
    <mergeCell ref="C8:D9"/>
    <mergeCell ref="C10:D11"/>
    <mergeCell ref="E8:E9"/>
    <mergeCell ref="E10:E11"/>
    <mergeCell ref="F2:G3"/>
    <mergeCell ref="F4:G5"/>
    <mergeCell ref="F6:G7"/>
    <mergeCell ref="F8:G9"/>
    <mergeCell ref="F10:G11"/>
    <mergeCell ref="A1:I1"/>
    <mergeCell ref="A2:B3"/>
    <mergeCell ref="A4:B5"/>
    <mergeCell ref="A6:B7"/>
    <mergeCell ref="A8:B9"/>
    <mergeCell ref="H2:H3"/>
    <mergeCell ref="H4:H5"/>
    <mergeCell ref="H6:H7"/>
    <mergeCell ref="H8:H9"/>
    <mergeCell ref="I2:I3"/>
    <mergeCell ref="I4:I5"/>
    <mergeCell ref="I6:I7"/>
    <mergeCell ref="I8:I9"/>
    <mergeCell ref="E2:E3"/>
    <mergeCell ref="E4:E5"/>
    <mergeCell ref="E6:E7"/>
  </mergeCells>
  <pageMargins left="0.393999993801117" right="0.393999993801117" top="0.59100002050399802" bottom="0.59100002050399802" header="0" footer="0"/>
  <pageSetup fitToHeight="0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Stavební rozpočet</vt:lpstr>
      <vt:lpstr>Krycí list rozpočtu</vt:lpstr>
      <vt:lpstr>VORN</vt:lpstr>
      <vt:lpstr>'Stavební rozpočet'!Oblast_tisku</vt:lpstr>
      <vt:lpstr>vorn_sum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Löfflerová Marta</cp:lastModifiedBy>
  <cp:lastPrinted>2026-02-03T09:17:15Z</cp:lastPrinted>
  <dcterms:created xsi:type="dcterms:W3CDTF">2021-06-10T20:06:38Z</dcterms:created>
  <dcterms:modified xsi:type="dcterms:W3CDTF">2026-02-04T07:14:51Z</dcterms:modified>
</cp:coreProperties>
</file>